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Q:\Area Operativa\COMMESSE\COMUNE DI COMO\01 Contratto - Revisioni - SAL Attivi\Revisioni\revisioni\Revisione 2024-2025\"/>
    </mc:Choice>
  </mc:AlternateContent>
  <xr:revisionPtr revIDLastSave="0" documentId="13_ncr:1_{044674C3-B625-4A35-87D4-6B977E1069B5}" xr6:coauthVersionLast="47" xr6:coauthVersionMax="47" xr10:uidLastSave="{00000000-0000-0000-0000-000000000000}"/>
  <bookViews>
    <workbookView xWindow="22932" yWindow="-108" windowWidth="23256" windowHeight="13896" tabRatio="563" firstSheet="12" activeTab="16" xr2:uid="{00000000-000D-0000-FFFF-FFFF00000000}"/>
  </bookViews>
  <sheets>
    <sheet name="Riepilogo" sheetId="1" r:id="rId1"/>
    <sheet name="Listino IV Trim 2013" sheetId="2" r:id="rId2"/>
    <sheet name="Ottobre 2024" sheetId="24" r:id="rId3"/>
    <sheet name="Novembre 2024" sheetId="6" r:id="rId4"/>
    <sheet name="Dicembre 2024" sheetId="7" r:id="rId5"/>
    <sheet name="Gennaio 2025" sheetId="8" r:id="rId6"/>
    <sheet name="Febbraio 2025" sheetId="15" r:id="rId7"/>
    <sheet name="Marzo 2025" sheetId="16" r:id="rId8"/>
    <sheet name="Aprile 2025" sheetId="17" r:id="rId9"/>
    <sheet name="Maggio 2025" sheetId="18" r:id="rId10"/>
    <sheet name="Giugno 2025" sheetId="19" r:id="rId11"/>
    <sheet name="Luglio 2025" sheetId="20" r:id="rId12"/>
    <sheet name="Agosto 2025" sheetId="21" r:id="rId13"/>
    <sheet name="Settembre 2025" sheetId="22" r:id="rId14"/>
    <sheet name="Ottobre 2025" sheetId="25" r:id="rId15"/>
    <sheet name="Contatori 2024-2025" sheetId="4" r:id="rId16"/>
    <sheet name="PMP_2024-2025" sheetId="10" r:id="rId17"/>
    <sheet name="Foglio2" sheetId="12" state="hidden" r:id="rId18"/>
    <sheet name="Foglio4" sheetId="14" state="hidden" r:id="rId19"/>
    <sheet name="Foglio3" sheetId="13" state="hidden" r:id="rId20"/>
  </sheets>
  <externalReferences>
    <externalReference r:id="rId21"/>
    <externalReference r:id="rId22"/>
  </externalReferences>
  <definedNames>
    <definedName name="_xlnm._FilterDatabase" localSheetId="15" hidden="1">'Contatori 2024-2025'!$A$1:$O$63</definedName>
    <definedName name="_xlnm._FilterDatabase" localSheetId="17" hidden="1">Foglio2!$A$2:$X$62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8" i="10" l="1"/>
  <c r="Q15" i="10"/>
  <c r="O15" i="10"/>
  <c r="D12" i="10"/>
  <c r="E15" i="10"/>
  <c r="E14" i="10"/>
  <c r="E13" i="10"/>
  <c r="N11" i="10"/>
  <c r="M15" i="10"/>
  <c r="C22" i="25" l="1"/>
  <c r="C20" i="25"/>
  <c r="E13" i="25"/>
  <c r="C21" i="25" s="1"/>
  <c r="V12" i="25"/>
  <c r="R11" i="25"/>
  <c r="M11" i="25"/>
  <c r="R10" i="25"/>
  <c r="M10" i="25"/>
  <c r="R9" i="25"/>
  <c r="M9" i="25"/>
  <c r="R8" i="25"/>
  <c r="M8" i="25"/>
  <c r="R7" i="25"/>
  <c r="M7" i="25"/>
  <c r="R6" i="25"/>
  <c r="M6" i="25"/>
  <c r="E6" i="25"/>
  <c r="S7" i="25" l="1"/>
  <c r="U7" i="25" s="1"/>
  <c r="W7" i="25" s="1"/>
  <c r="S8" i="25"/>
  <c r="U8" i="25" s="1"/>
  <c r="W8" i="25" s="1"/>
  <c r="S9" i="25"/>
  <c r="U9" i="25" s="1"/>
  <c r="W9" i="25" s="1"/>
  <c r="S10" i="25"/>
  <c r="U10" i="25" s="1"/>
  <c r="W10" i="25" s="1"/>
  <c r="S6" i="25"/>
  <c r="U6" i="25" s="1"/>
  <c r="W6" i="25" s="1"/>
  <c r="W12" i="25" l="1"/>
  <c r="W14" i="25" s="1"/>
  <c r="C14" i="10" l="1"/>
  <c r="C13" i="10"/>
  <c r="E3" i="10" l="1"/>
  <c r="E7" i="10"/>
  <c r="E4" i="10"/>
  <c r="E5" i="10"/>
  <c r="E6" i="10"/>
  <c r="E8" i="10"/>
  <c r="E9" i="10"/>
  <c r="E10" i="10"/>
  <c r="E11" i="10"/>
  <c r="E12" i="10"/>
  <c r="D20" i="10"/>
  <c r="D10" i="10"/>
  <c r="D6" i="10"/>
  <c r="D5" i="10"/>
  <c r="L10" i="10" l="1"/>
  <c r="C20" i="19"/>
  <c r="C20" i="18"/>
  <c r="L13" i="18"/>
  <c r="K13" i="18"/>
  <c r="C20" i="15"/>
  <c r="M13" i="6"/>
  <c r="S6" i="24"/>
  <c r="M15" i="24"/>
  <c r="M14" i="24"/>
  <c r="M13" i="24"/>
  <c r="A5" i="10"/>
  <c r="E13" i="22"/>
  <c r="R13" i="17" l="1"/>
  <c r="M15" i="17"/>
  <c r="M14" i="17"/>
  <c r="M13" i="17"/>
  <c r="M15" i="16"/>
  <c r="M14" i="16"/>
  <c r="M13" i="16"/>
  <c r="M6" i="16"/>
  <c r="M7" i="16"/>
  <c r="M8" i="16"/>
  <c r="M9" i="16"/>
  <c r="M10" i="16"/>
  <c r="M11" i="16"/>
  <c r="M15" i="15"/>
  <c r="M14" i="15"/>
  <c r="M13" i="15"/>
  <c r="M15" i="8"/>
  <c r="M14" i="8"/>
  <c r="M13" i="8"/>
  <c r="M6" i="8"/>
  <c r="M7" i="8"/>
  <c r="M8" i="8"/>
  <c r="M9" i="8"/>
  <c r="M10" i="8"/>
  <c r="M11" i="8"/>
  <c r="M15" i="6" l="1"/>
  <c r="M14" i="6"/>
  <c r="M15" i="7"/>
  <c r="M14" i="7"/>
  <c r="M13" i="7"/>
  <c r="E13" i="7"/>
  <c r="M6" i="6"/>
  <c r="M7" i="6"/>
  <c r="M8" i="6"/>
  <c r="M9" i="6"/>
  <c r="M10" i="6"/>
  <c r="M11" i="6"/>
  <c r="C22" i="24" l="1"/>
  <c r="Q3" i="10" s="1"/>
  <c r="L15" i="10"/>
  <c r="C21" i="24"/>
  <c r="O3" i="10" s="1"/>
  <c r="C20" i="24"/>
  <c r="M3" i="10" s="1"/>
  <c r="V12" i="24"/>
  <c r="R11" i="24"/>
  <c r="M11" i="24"/>
  <c r="R10" i="24"/>
  <c r="M10" i="24"/>
  <c r="R9" i="24"/>
  <c r="M9" i="24"/>
  <c r="R8" i="24"/>
  <c r="M8" i="24"/>
  <c r="R7" i="24"/>
  <c r="M7" i="24"/>
  <c r="R6" i="24"/>
  <c r="M6" i="24"/>
  <c r="E6" i="24"/>
  <c r="M11" i="10"/>
  <c r="M6" i="19"/>
  <c r="R6" i="19"/>
  <c r="M7" i="19"/>
  <c r="R7" i="19"/>
  <c r="M8" i="19"/>
  <c r="R8" i="19"/>
  <c r="M9" i="19"/>
  <c r="R9" i="19"/>
  <c r="M10" i="19"/>
  <c r="R10" i="19"/>
  <c r="M11" i="19"/>
  <c r="R11" i="19"/>
  <c r="C22" i="22"/>
  <c r="Q14" i="10" s="1"/>
  <c r="C21" i="22"/>
  <c r="O14" i="10" s="1"/>
  <c r="C20" i="22"/>
  <c r="M14" i="10" s="1"/>
  <c r="V12" i="22"/>
  <c r="R11" i="22"/>
  <c r="M11" i="22"/>
  <c r="R10" i="22"/>
  <c r="M10" i="22"/>
  <c r="R9" i="22"/>
  <c r="M9" i="22"/>
  <c r="R8" i="22"/>
  <c r="M8" i="22"/>
  <c r="R7" i="22"/>
  <c r="M7" i="22"/>
  <c r="R6" i="22"/>
  <c r="M6" i="22"/>
  <c r="E6" i="22"/>
  <c r="C22" i="21"/>
  <c r="Q13" i="10" s="1"/>
  <c r="C21" i="21"/>
  <c r="O13" i="10" s="1"/>
  <c r="P13" i="10" s="1"/>
  <c r="C20" i="21"/>
  <c r="M13" i="10" s="1"/>
  <c r="V12" i="21"/>
  <c r="R11" i="21"/>
  <c r="M11" i="21"/>
  <c r="R10" i="21"/>
  <c r="M10" i="21"/>
  <c r="R9" i="21"/>
  <c r="M9" i="21"/>
  <c r="R8" i="21"/>
  <c r="M8" i="21"/>
  <c r="R7" i="21"/>
  <c r="M7" i="21"/>
  <c r="R6" i="21"/>
  <c r="M6" i="21"/>
  <c r="E6" i="21"/>
  <c r="C22" i="20"/>
  <c r="Q12" i="10" s="1"/>
  <c r="R12" i="10" s="1"/>
  <c r="C21" i="20"/>
  <c r="O12" i="10" s="1"/>
  <c r="C20" i="20"/>
  <c r="M12" i="10" s="1"/>
  <c r="V12" i="20"/>
  <c r="R11" i="20"/>
  <c r="M11" i="20"/>
  <c r="R10" i="20"/>
  <c r="M10" i="20"/>
  <c r="R9" i="20"/>
  <c r="M9" i="20"/>
  <c r="R8" i="20"/>
  <c r="M8" i="20"/>
  <c r="R7" i="20"/>
  <c r="M7" i="20"/>
  <c r="R6" i="20"/>
  <c r="M6" i="20"/>
  <c r="V12" i="19"/>
  <c r="A14" i="10"/>
  <c r="A13" i="10"/>
  <c r="A12" i="10"/>
  <c r="A11" i="10"/>
  <c r="N12" i="10" l="1"/>
  <c r="R15" i="10"/>
  <c r="N15" i="10"/>
  <c r="P15" i="10"/>
  <c r="N14" i="10"/>
  <c r="P14" i="10"/>
  <c r="R14" i="10"/>
  <c r="N13" i="10"/>
  <c r="R13" i="10"/>
  <c r="P12" i="10"/>
  <c r="S9" i="21"/>
  <c r="U9" i="21" s="1"/>
  <c r="W9" i="21" s="1"/>
  <c r="C21" i="19"/>
  <c r="O11" i="10" s="1"/>
  <c r="P11" i="10" s="1"/>
  <c r="C22" i="19"/>
  <c r="Q11" i="10" s="1"/>
  <c r="R11" i="10" s="1"/>
  <c r="S7" i="24"/>
  <c r="U7" i="24" s="1"/>
  <c r="W7" i="24" s="1"/>
  <c r="S10" i="24"/>
  <c r="U10" i="24" s="1"/>
  <c r="W10" i="24" s="1"/>
  <c r="S8" i="24"/>
  <c r="U8" i="24" s="1"/>
  <c r="W8" i="24" s="1"/>
  <c r="U6" i="24"/>
  <c r="W6" i="24" s="1"/>
  <c r="S9" i="24"/>
  <c r="U9" i="24" s="1"/>
  <c r="W9" i="24" s="1"/>
  <c r="S7" i="22"/>
  <c r="U7" i="22" s="1"/>
  <c r="W7" i="22" s="1"/>
  <c r="S7" i="21"/>
  <c r="U7" i="21" s="1"/>
  <c r="W7" i="21" s="1"/>
  <c r="S7" i="20"/>
  <c r="U7" i="20" s="1"/>
  <c r="W7" i="20" s="1"/>
  <c r="S6" i="19"/>
  <c r="U6" i="19" s="1"/>
  <c r="W6" i="19" s="1"/>
  <c r="S9" i="19"/>
  <c r="U9" i="19" s="1"/>
  <c r="W9" i="19" s="1"/>
  <c r="S8" i="19"/>
  <c r="U8" i="19" s="1"/>
  <c r="W8" i="19" s="1"/>
  <c r="S7" i="19"/>
  <c r="U7" i="19" s="1"/>
  <c r="W7" i="19" s="1"/>
  <c r="S10" i="19"/>
  <c r="U10" i="19" s="1"/>
  <c r="W10" i="19" s="1"/>
  <c r="S10" i="22"/>
  <c r="U10" i="22" s="1"/>
  <c r="W10" i="22" s="1"/>
  <c r="S8" i="22"/>
  <c r="U8" i="22" s="1"/>
  <c r="W8" i="22" s="1"/>
  <c r="S6" i="22"/>
  <c r="U6" i="22" s="1"/>
  <c r="W6" i="22" s="1"/>
  <c r="S9" i="22"/>
  <c r="U9" i="22" s="1"/>
  <c r="W9" i="22" s="1"/>
  <c r="S10" i="21"/>
  <c r="U10" i="21" s="1"/>
  <c r="W10" i="21" s="1"/>
  <c r="S8" i="21"/>
  <c r="U8" i="21" s="1"/>
  <c r="W8" i="21" s="1"/>
  <c r="S6" i="21"/>
  <c r="U6" i="21" s="1"/>
  <c r="W6" i="21" s="1"/>
  <c r="S10" i="20"/>
  <c r="U10" i="20" s="1"/>
  <c r="W10" i="20" s="1"/>
  <c r="S8" i="20"/>
  <c r="U8" i="20" s="1"/>
  <c r="W8" i="20" s="1"/>
  <c r="S9" i="20"/>
  <c r="U9" i="20" s="1"/>
  <c r="W9" i="20" s="1"/>
  <c r="S6" i="20"/>
  <c r="U6" i="20" s="1"/>
  <c r="W6" i="20" s="1"/>
  <c r="J10" i="10"/>
  <c r="J9" i="10"/>
  <c r="L9" i="10" s="1"/>
  <c r="J8" i="10"/>
  <c r="L8" i="10" s="1"/>
  <c r="J7" i="10"/>
  <c r="J6" i="10"/>
  <c r="J5" i="10"/>
  <c r="L5" i="10" s="1"/>
  <c r="J4" i="10"/>
  <c r="A10" i="10"/>
  <c r="A9" i="10"/>
  <c r="A8" i="10"/>
  <c r="A7" i="10"/>
  <c r="A6" i="10"/>
  <c r="A4" i="10"/>
  <c r="C22" i="18"/>
  <c r="Q10" i="10" s="1"/>
  <c r="C21" i="18"/>
  <c r="O10" i="10" s="1"/>
  <c r="M10" i="10"/>
  <c r="V12" i="18"/>
  <c r="R11" i="18"/>
  <c r="M11" i="18"/>
  <c r="R10" i="18"/>
  <c r="M10" i="18"/>
  <c r="R9" i="18"/>
  <c r="M9" i="18"/>
  <c r="R8" i="18"/>
  <c r="M8" i="18"/>
  <c r="R7" i="18"/>
  <c r="M7" i="18"/>
  <c r="R6" i="18"/>
  <c r="M6" i="18"/>
  <c r="C22" i="17"/>
  <c r="Q9" i="10" s="1"/>
  <c r="C21" i="17"/>
  <c r="O9" i="10" s="1"/>
  <c r="C20" i="17"/>
  <c r="M9" i="10" s="1"/>
  <c r="V12" i="17"/>
  <c r="R11" i="17"/>
  <c r="M11" i="17"/>
  <c r="R10" i="17"/>
  <c r="M10" i="17"/>
  <c r="R9" i="17"/>
  <c r="M9" i="17"/>
  <c r="R8" i="17"/>
  <c r="M8" i="17"/>
  <c r="R7" i="17"/>
  <c r="M7" i="17"/>
  <c r="R6" i="17"/>
  <c r="M6" i="17"/>
  <c r="C22" i="16"/>
  <c r="Q8" i="10" s="1"/>
  <c r="C21" i="16"/>
  <c r="O8" i="10" s="1"/>
  <c r="C20" i="16"/>
  <c r="M8" i="10" s="1"/>
  <c r="V12" i="16"/>
  <c r="R11" i="16"/>
  <c r="R10" i="16"/>
  <c r="R9" i="16"/>
  <c r="R8" i="16"/>
  <c r="R7" i="16"/>
  <c r="R6" i="16"/>
  <c r="C22" i="15"/>
  <c r="Q7" i="10" s="1"/>
  <c r="C21" i="15"/>
  <c r="O7" i="10" s="1"/>
  <c r="M7" i="10"/>
  <c r="V12" i="15"/>
  <c r="R11" i="15"/>
  <c r="M11" i="15"/>
  <c r="R10" i="15"/>
  <c r="M10" i="15"/>
  <c r="R9" i="15"/>
  <c r="M9" i="15"/>
  <c r="R8" i="15"/>
  <c r="M8" i="15"/>
  <c r="R7" i="15"/>
  <c r="M7" i="15"/>
  <c r="R6" i="15"/>
  <c r="M6" i="15"/>
  <c r="R10" i="10" l="1"/>
  <c r="P10" i="10"/>
  <c r="N10" i="10"/>
  <c r="P9" i="10"/>
  <c r="N9" i="10"/>
  <c r="R9" i="10"/>
  <c r="P8" i="10"/>
  <c r="R8" i="10"/>
  <c r="N8" i="10"/>
  <c r="S10" i="15"/>
  <c r="U10" i="15" s="1"/>
  <c r="W10" i="15" s="1"/>
  <c r="W12" i="24"/>
  <c r="W14" i="24" s="1"/>
  <c r="W12" i="19"/>
  <c r="W14" i="19" s="1"/>
  <c r="C11" i="10" s="1"/>
  <c r="W12" i="22"/>
  <c r="W14" i="22" s="1"/>
  <c r="W12" i="21"/>
  <c r="W14" i="21" s="1"/>
  <c r="W12" i="20"/>
  <c r="W14" i="20" s="1"/>
  <c r="C12" i="10" s="1"/>
  <c r="S10" i="18"/>
  <c r="U10" i="18" s="1"/>
  <c r="W10" i="18" s="1"/>
  <c r="S9" i="18"/>
  <c r="U9" i="18" s="1"/>
  <c r="W9" i="18" s="1"/>
  <c r="S6" i="18"/>
  <c r="U6" i="18" s="1"/>
  <c r="W6" i="18" s="1"/>
  <c r="S7" i="18"/>
  <c r="U7" i="18" s="1"/>
  <c r="W7" i="18" s="1"/>
  <c r="S8" i="18"/>
  <c r="U8" i="18" s="1"/>
  <c r="W8" i="18" s="1"/>
  <c r="S7" i="17"/>
  <c r="U7" i="17" s="1"/>
  <c r="W7" i="17" s="1"/>
  <c r="S6" i="17"/>
  <c r="U6" i="17" s="1"/>
  <c r="W6" i="17" s="1"/>
  <c r="S9" i="17"/>
  <c r="U9" i="17" s="1"/>
  <c r="W9" i="17" s="1"/>
  <c r="S8" i="17"/>
  <c r="U8" i="17" s="1"/>
  <c r="W8" i="17" s="1"/>
  <c r="S10" i="17"/>
  <c r="U10" i="17" s="1"/>
  <c r="W10" i="17" s="1"/>
  <c r="S8" i="16"/>
  <c r="U8" i="16" s="1"/>
  <c r="W8" i="16" s="1"/>
  <c r="S10" i="16"/>
  <c r="U10" i="16" s="1"/>
  <c r="W10" i="16" s="1"/>
  <c r="S9" i="16"/>
  <c r="U9" i="16" s="1"/>
  <c r="W9" i="16" s="1"/>
  <c r="S7" i="16"/>
  <c r="U7" i="16" s="1"/>
  <c r="W7" i="16" s="1"/>
  <c r="S6" i="16"/>
  <c r="U6" i="16" s="1"/>
  <c r="W6" i="16" s="1"/>
  <c r="S7" i="15"/>
  <c r="U7" i="15" s="1"/>
  <c r="W7" i="15" s="1"/>
  <c r="S9" i="15"/>
  <c r="U9" i="15" s="1"/>
  <c r="W9" i="15" s="1"/>
  <c r="S6" i="15"/>
  <c r="U6" i="15" s="1"/>
  <c r="W6" i="15" s="1"/>
  <c r="S8" i="15"/>
  <c r="U8" i="15" s="1"/>
  <c r="W8" i="15" s="1"/>
  <c r="C3" i="10" l="1"/>
  <c r="W12" i="15"/>
  <c r="W14" i="15" s="1"/>
  <c r="C7" i="10" s="1"/>
  <c r="W12" i="18"/>
  <c r="W14" i="18" s="1"/>
  <c r="C10" i="10" s="1"/>
  <c r="W12" i="17"/>
  <c r="W14" i="17" s="1"/>
  <c r="C9" i="10" s="1"/>
  <c r="W12" i="16"/>
  <c r="W14" i="16" s="1"/>
  <c r="C8" i="10" s="1"/>
  <c r="B61" i="4" l="1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2" i="4"/>
  <c r="AM11" i="14" l="1"/>
  <c r="AO11" i="14" s="1"/>
  <c r="AM10" i="14"/>
  <c r="AM9" i="14"/>
  <c r="AM8" i="14"/>
  <c r="AO8" i="14" s="1"/>
  <c r="AM7" i="14"/>
  <c r="AO7" i="14" s="1"/>
  <c r="AM6" i="14"/>
  <c r="AM5" i="14"/>
  <c r="AO5" i="14" s="1"/>
  <c r="AM4" i="14"/>
  <c r="AO4" i="14" s="1"/>
  <c r="AM3" i="14"/>
  <c r="AO3" i="14" s="1"/>
  <c r="AM2" i="14"/>
  <c r="AH11" i="14"/>
  <c r="AH10" i="14"/>
  <c r="AH9" i="14"/>
  <c r="AH8" i="14"/>
  <c r="AH7" i="14"/>
  <c r="AH6" i="14"/>
  <c r="AH5" i="14"/>
  <c r="AH4" i="14"/>
  <c r="AH3" i="14"/>
  <c r="AH2" i="14"/>
  <c r="AI14" i="14"/>
  <c r="AK11" i="14"/>
  <c r="AK10" i="14"/>
  <c r="AK9" i="14"/>
  <c r="AK8" i="14"/>
  <c r="AK7" i="14"/>
  <c r="AK6" i="14"/>
  <c r="AK5" i="14"/>
  <c r="AK4" i="14"/>
  <c r="AK3" i="14"/>
  <c r="AK2" i="14"/>
  <c r="AE11" i="14"/>
  <c r="AE10" i="14"/>
  <c r="AE9" i="14"/>
  <c r="AE8" i="14"/>
  <c r="AE7" i="14"/>
  <c r="AE6" i="14"/>
  <c r="AE5" i="14"/>
  <c r="AE4" i="14"/>
  <c r="AE3" i="14"/>
  <c r="AE2" i="14"/>
  <c r="AB11" i="14"/>
  <c r="AB10" i="14"/>
  <c r="AB9" i="14"/>
  <c r="AB8" i="14"/>
  <c r="AB7" i="14"/>
  <c r="AB6" i="14"/>
  <c r="AB5" i="14"/>
  <c r="AB4" i="14"/>
  <c r="AB3" i="14"/>
  <c r="AB2" i="14"/>
  <c r="Y11" i="14"/>
  <c r="Y10" i="14"/>
  <c r="Y9" i="14"/>
  <c r="Y8" i="14"/>
  <c r="Y7" i="14"/>
  <c r="Y6" i="14"/>
  <c r="Y5" i="14"/>
  <c r="Y4" i="14"/>
  <c r="Y3" i="14"/>
  <c r="Y2" i="14"/>
  <c r="V11" i="14"/>
  <c r="V10" i="14"/>
  <c r="V9" i="14"/>
  <c r="V8" i="14"/>
  <c r="V7" i="14"/>
  <c r="V6" i="14"/>
  <c r="V5" i="14"/>
  <c r="V4" i="14"/>
  <c r="V3" i="14"/>
  <c r="V2" i="14"/>
  <c r="P11" i="14"/>
  <c r="P10" i="14"/>
  <c r="P9" i="14"/>
  <c r="P8" i="14"/>
  <c r="P7" i="14"/>
  <c r="P6" i="14"/>
  <c r="P5" i="14"/>
  <c r="P4" i="14"/>
  <c r="P3" i="14"/>
  <c r="P2" i="14"/>
  <c r="S11" i="14"/>
  <c r="S10" i="14"/>
  <c r="S9" i="14"/>
  <c r="S8" i="14"/>
  <c r="S7" i="14"/>
  <c r="S6" i="14"/>
  <c r="S5" i="14"/>
  <c r="S4" i="14"/>
  <c r="S3" i="14"/>
  <c r="S2" i="14"/>
  <c r="O14" i="14"/>
  <c r="AL14" i="14"/>
  <c r="AF14" i="14"/>
  <c r="AC14" i="14"/>
  <c r="Z14" i="14"/>
  <c r="W14" i="14"/>
  <c r="T14" i="14"/>
  <c r="Q14" i="14"/>
  <c r="N14" i="14"/>
  <c r="K14" i="14"/>
  <c r="I14" i="14"/>
  <c r="AP11" i="14"/>
  <c r="M11" i="14"/>
  <c r="AP10" i="14"/>
  <c r="M10" i="14"/>
  <c r="AP9" i="14"/>
  <c r="AO9" i="14"/>
  <c r="M9" i="14"/>
  <c r="AP8" i="14"/>
  <c r="M8" i="14"/>
  <c r="AP7" i="14"/>
  <c r="M7" i="14"/>
  <c r="AP6" i="14"/>
  <c r="M6" i="14"/>
  <c r="AP5" i="14"/>
  <c r="M5" i="14"/>
  <c r="AP4" i="14"/>
  <c r="M4" i="14"/>
  <c r="AP3" i="14"/>
  <c r="M3" i="14"/>
  <c r="AP2" i="14"/>
  <c r="AA14" i="14"/>
  <c r="X14" i="14"/>
  <c r="U14" i="14"/>
  <c r="M2" i="14"/>
  <c r="L14" i="14"/>
  <c r="AP14" i="14" l="1"/>
  <c r="AO2" i="14"/>
  <c r="AO10" i="14"/>
  <c r="AO6" i="14"/>
  <c r="R14" i="14"/>
  <c r="AD14" i="14"/>
  <c r="AO14" i="14" l="1"/>
  <c r="AM14" i="14"/>
  <c r="N18" i="13" l="1"/>
  <c r="N17" i="13"/>
  <c r="N16" i="13"/>
  <c r="N15" i="13"/>
  <c r="N14" i="13"/>
  <c r="N13" i="13"/>
  <c r="N12" i="13"/>
  <c r="N10" i="13"/>
  <c r="N7" i="13"/>
  <c r="N6" i="13"/>
  <c r="N5" i="13"/>
  <c r="N4" i="13"/>
  <c r="N3" i="13"/>
  <c r="M7" i="13"/>
  <c r="M9" i="13"/>
  <c r="N9" i="13" s="1"/>
  <c r="M5" i="13"/>
  <c r="M6" i="13"/>
  <c r="M4" i="13"/>
  <c r="M3" i="13"/>
  <c r="N22" i="13" l="1"/>
  <c r="V62" i="12"/>
  <c r="V61" i="12"/>
  <c r="V60" i="12"/>
  <c r="V59" i="12"/>
  <c r="V58" i="12"/>
  <c r="V57" i="12"/>
  <c r="V56" i="12"/>
  <c r="V55" i="12"/>
  <c r="V54" i="12"/>
  <c r="V53" i="12"/>
  <c r="V52" i="12"/>
  <c r="V51" i="12"/>
  <c r="V50" i="12"/>
  <c r="V49" i="12"/>
  <c r="V48" i="12"/>
  <c r="V47" i="12"/>
  <c r="V46" i="12"/>
  <c r="V45" i="12"/>
  <c r="V44" i="12"/>
  <c r="V43" i="12"/>
  <c r="V42" i="12"/>
  <c r="V41" i="12"/>
  <c r="V40" i="12"/>
  <c r="V39" i="12"/>
  <c r="V38" i="12"/>
  <c r="V37" i="12"/>
  <c r="V36" i="12"/>
  <c r="V35" i="12"/>
  <c r="V34" i="12"/>
  <c r="V33" i="12"/>
  <c r="V32" i="12"/>
  <c r="V31" i="12"/>
  <c r="V30" i="12"/>
  <c r="V29" i="12"/>
  <c r="V27" i="12"/>
  <c r="V20" i="12"/>
  <c r="V21" i="12"/>
  <c r="V22" i="12"/>
  <c r="V23" i="12"/>
  <c r="V24" i="12"/>
  <c r="V25" i="12"/>
  <c r="V26" i="12"/>
  <c r="V19" i="12"/>
  <c r="V18" i="12"/>
  <c r="V17" i="12"/>
  <c r="V16" i="12"/>
  <c r="V15" i="12"/>
  <c r="V14" i="12"/>
  <c r="V13" i="12"/>
  <c r="V12" i="12"/>
  <c r="V11" i="12"/>
  <c r="V10" i="12"/>
  <c r="V9" i="12"/>
  <c r="V8" i="12"/>
  <c r="W8" i="12" s="1"/>
  <c r="V7" i="12"/>
  <c r="V6" i="12"/>
  <c r="V5" i="12"/>
  <c r="V4" i="12"/>
  <c r="V3" i="12"/>
  <c r="X50" i="12" l="1"/>
  <c r="H65" i="12" l="1"/>
  <c r="H67" i="12" s="1"/>
  <c r="I65" i="12"/>
  <c r="I67" i="12" s="1"/>
  <c r="J65" i="12"/>
  <c r="J67" i="12" s="1"/>
  <c r="K65" i="12"/>
  <c r="K67" i="12" s="1"/>
  <c r="M69" i="12" s="1"/>
  <c r="L65" i="12"/>
  <c r="L67" i="12" s="1"/>
  <c r="M65" i="12"/>
  <c r="M67" i="12" s="1"/>
  <c r="N65" i="12"/>
  <c r="N67" i="12" s="1"/>
  <c r="O65" i="12"/>
  <c r="O67" i="12" s="1"/>
  <c r="P65" i="12"/>
  <c r="Q65" i="12"/>
  <c r="Q67" i="12" s="1"/>
  <c r="R65" i="12"/>
  <c r="R67" i="12" s="1"/>
  <c r="S65" i="12"/>
  <c r="S67" i="12" s="1"/>
  <c r="T4" i="12"/>
  <c r="U4" i="12" s="1"/>
  <c r="W4" i="12" s="1"/>
  <c r="T5" i="12"/>
  <c r="U5" i="12" s="1"/>
  <c r="W5" i="12" s="1"/>
  <c r="T6" i="12"/>
  <c r="U6" i="12" s="1"/>
  <c r="W6" i="12" s="1"/>
  <c r="T7" i="12"/>
  <c r="U7" i="12" s="1"/>
  <c r="W7" i="12" s="1"/>
  <c r="T8" i="12"/>
  <c r="T9" i="12"/>
  <c r="U9" i="12" s="1"/>
  <c r="W9" i="12" s="1"/>
  <c r="T10" i="12"/>
  <c r="U10" i="12" s="1"/>
  <c r="W10" i="12" s="1"/>
  <c r="T11" i="12"/>
  <c r="U11" i="12" s="1"/>
  <c r="W11" i="12" s="1"/>
  <c r="T12" i="12"/>
  <c r="U12" i="12" s="1"/>
  <c r="W12" i="12" s="1"/>
  <c r="T13" i="12"/>
  <c r="U13" i="12" s="1"/>
  <c r="W13" i="12" s="1"/>
  <c r="T14" i="12"/>
  <c r="U14" i="12" s="1"/>
  <c r="W14" i="12" s="1"/>
  <c r="T15" i="12"/>
  <c r="U15" i="12" s="1"/>
  <c r="W15" i="12" s="1"/>
  <c r="T16" i="12"/>
  <c r="U16" i="12" s="1"/>
  <c r="W16" i="12" s="1"/>
  <c r="T17" i="12"/>
  <c r="U17" i="12" s="1"/>
  <c r="W17" i="12" s="1"/>
  <c r="T18" i="12"/>
  <c r="U18" i="12" s="1"/>
  <c r="W18" i="12" s="1"/>
  <c r="T19" i="12"/>
  <c r="U19" i="12" s="1"/>
  <c r="W19" i="12" s="1"/>
  <c r="T20" i="12"/>
  <c r="U20" i="12" s="1"/>
  <c r="W20" i="12" s="1"/>
  <c r="T21" i="12"/>
  <c r="U21" i="12" s="1"/>
  <c r="W21" i="12" s="1"/>
  <c r="T22" i="12"/>
  <c r="U22" i="12" s="1"/>
  <c r="W22" i="12" s="1"/>
  <c r="T23" i="12"/>
  <c r="U23" i="12" s="1"/>
  <c r="W23" i="12" s="1"/>
  <c r="T24" i="12"/>
  <c r="U24" i="12" s="1"/>
  <c r="W24" i="12" s="1"/>
  <c r="T25" i="12"/>
  <c r="U25" i="12" s="1"/>
  <c r="W25" i="12" s="1"/>
  <c r="T26" i="12"/>
  <c r="U26" i="12" s="1"/>
  <c r="W26" i="12" s="1"/>
  <c r="T27" i="12"/>
  <c r="U27" i="12" s="1"/>
  <c r="W27" i="12" s="1"/>
  <c r="T28" i="12"/>
  <c r="U28" i="12" s="1"/>
  <c r="T29" i="12"/>
  <c r="U29" i="12" s="1"/>
  <c r="W29" i="12" s="1"/>
  <c r="T30" i="12"/>
  <c r="U30" i="12" s="1"/>
  <c r="W30" i="12" s="1"/>
  <c r="T31" i="12"/>
  <c r="U31" i="12" s="1"/>
  <c r="W31" i="12" s="1"/>
  <c r="T32" i="12"/>
  <c r="U32" i="12" s="1"/>
  <c r="W32" i="12" s="1"/>
  <c r="T33" i="12"/>
  <c r="U33" i="12" s="1"/>
  <c r="W33" i="12" s="1"/>
  <c r="T34" i="12"/>
  <c r="U34" i="12" s="1"/>
  <c r="W34" i="12" s="1"/>
  <c r="T35" i="12"/>
  <c r="U35" i="12" s="1"/>
  <c r="W35" i="12" s="1"/>
  <c r="T36" i="12"/>
  <c r="U36" i="12" s="1"/>
  <c r="W36" i="12" s="1"/>
  <c r="T37" i="12"/>
  <c r="U37" i="12" s="1"/>
  <c r="W37" i="12" s="1"/>
  <c r="T38" i="12"/>
  <c r="U38" i="12" s="1"/>
  <c r="W38" i="12" s="1"/>
  <c r="T39" i="12"/>
  <c r="U39" i="12" s="1"/>
  <c r="W39" i="12" s="1"/>
  <c r="T40" i="12"/>
  <c r="U40" i="12" s="1"/>
  <c r="W40" i="12" s="1"/>
  <c r="T41" i="12"/>
  <c r="U41" i="12" s="1"/>
  <c r="W41" i="12" s="1"/>
  <c r="T42" i="12"/>
  <c r="U42" i="12" s="1"/>
  <c r="W42" i="12" s="1"/>
  <c r="T43" i="12"/>
  <c r="U43" i="12" s="1"/>
  <c r="W43" i="12" s="1"/>
  <c r="T44" i="12"/>
  <c r="U44" i="12" s="1"/>
  <c r="W44" i="12" s="1"/>
  <c r="T45" i="12"/>
  <c r="U45" i="12" s="1"/>
  <c r="W45" i="12" s="1"/>
  <c r="T46" i="12"/>
  <c r="U46" i="12" s="1"/>
  <c r="W46" i="12" s="1"/>
  <c r="T47" i="12"/>
  <c r="U47" i="12" s="1"/>
  <c r="W47" i="12" s="1"/>
  <c r="T48" i="12"/>
  <c r="U48" i="12" s="1"/>
  <c r="W48" i="12" s="1"/>
  <c r="T49" i="12"/>
  <c r="U49" i="12" s="1"/>
  <c r="W49" i="12" s="1"/>
  <c r="T50" i="12"/>
  <c r="U50" i="12" s="1"/>
  <c r="W50" i="12" s="1"/>
  <c r="T51" i="12"/>
  <c r="U51" i="12" s="1"/>
  <c r="W51" i="12" s="1"/>
  <c r="T52" i="12"/>
  <c r="U52" i="12" s="1"/>
  <c r="W52" i="12" s="1"/>
  <c r="T53" i="12"/>
  <c r="U53" i="12" s="1"/>
  <c r="W53" i="12" s="1"/>
  <c r="T54" i="12"/>
  <c r="U54" i="12" s="1"/>
  <c r="W54" i="12" s="1"/>
  <c r="T55" i="12"/>
  <c r="U55" i="12" s="1"/>
  <c r="W55" i="12" s="1"/>
  <c r="T56" i="12"/>
  <c r="U56" i="12" s="1"/>
  <c r="W56" i="12" s="1"/>
  <c r="T57" i="12"/>
  <c r="U57" i="12" s="1"/>
  <c r="W57" i="12" s="1"/>
  <c r="T58" i="12"/>
  <c r="U58" i="12" s="1"/>
  <c r="W58" i="12" s="1"/>
  <c r="T59" i="12"/>
  <c r="U59" i="12" s="1"/>
  <c r="W59" i="12" s="1"/>
  <c r="T60" i="12"/>
  <c r="U60" i="12" s="1"/>
  <c r="W60" i="12" s="1"/>
  <c r="T61" i="12"/>
  <c r="U61" i="12" s="1"/>
  <c r="W61" i="12" s="1"/>
  <c r="T62" i="12"/>
  <c r="U62" i="12" s="1"/>
  <c r="W62" i="12" s="1"/>
  <c r="T3" i="12"/>
  <c r="U3" i="12" s="1"/>
  <c r="W3" i="12" s="1"/>
  <c r="P69" i="12" l="1"/>
  <c r="J69" i="12"/>
  <c r="S69" i="12"/>
  <c r="T65" i="12"/>
  <c r="U65" i="12" s="1"/>
  <c r="U67" i="12" s="1"/>
  <c r="U69" i="12" s="1"/>
  <c r="R11" i="8"/>
  <c r="R10" i="8"/>
  <c r="R9" i="8"/>
  <c r="R8" i="8"/>
  <c r="R7" i="8"/>
  <c r="R6" i="8"/>
  <c r="R11" i="7"/>
  <c r="R10" i="7"/>
  <c r="R9" i="7"/>
  <c r="R8" i="7"/>
  <c r="R7" i="7"/>
  <c r="R6" i="7"/>
  <c r="M11" i="7"/>
  <c r="M10" i="7"/>
  <c r="M9" i="7"/>
  <c r="M8" i="7"/>
  <c r="M7" i="7"/>
  <c r="M6" i="7"/>
  <c r="R11" i="6"/>
  <c r="R10" i="6"/>
  <c r="R9" i="6"/>
  <c r="R8" i="6"/>
  <c r="R7" i="6"/>
  <c r="R6" i="6"/>
  <c r="L7" i="10" l="1"/>
  <c r="L6" i="10"/>
  <c r="L4" i="10"/>
  <c r="L3" i="10"/>
  <c r="C22" i="8"/>
  <c r="Q6" i="10" s="1"/>
  <c r="C21" i="8"/>
  <c r="O6" i="10" s="1"/>
  <c r="C20" i="8"/>
  <c r="M6" i="10" s="1"/>
  <c r="C22" i="7"/>
  <c r="Q5" i="10" s="1"/>
  <c r="C21" i="7"/>
  <c r="O5" i="10" s="1"/>
  <c r="C20" i="7"/>
  <c r="M5" i="10" s="1"/>
  <c r="C22" i="6"/>
  <c r="Q4" i="10" s="1"/>
  <c r="C21" i="6"/>
  <c r="O4" i="10" s="1"/>
  <c r="C20" i="6"/>
  <c r="M4" i="10" s="1"/>
  <c r="V12" i="8"/>
  <c r="S10" i="8"/>
  <c r="U10" i="8" s="1"/>
  <c r="W10" i="8" s="1"/>
  <c r="S9" i="8"/>
  <c r="U9" i="8" s="1"/>
  <c r="W9" i="8" s="1"/>
  <c r="S8" i="8"/>
  <c r="U8" i="8" s="1"/>
  <c r="W8" i="8" s="1"/>
  <c r="S7" i="8"/>
  <c r="U7" i="8" s="1"/>
  <c r="W7" i="8" s="1"/>
  <c r="S6" i="8"/>
  <c r="U6" i="8" s="1"/>
  <c r="W6" i="8" s="1"/>
  <c r="V12" i="7"/>
  <c r="S10" i="7"/>
  <c r="U10" i="7" s="1"/>
  <c r="W10" i="7" s="1"/>
  <c r="S9" i="7"/>
  <c r="U9" i="7" s="1"/>
  <c r="W9" i="7" s="1"/>
  <c r="S8" i="7"/>
  <c r="U8" i="7" s="1"/>
  <c r="W8" i="7" s="1"/>
  <c r="S7" i="7"/>
  <c r="U7" i="7" s="1"/>
  <c r="W7" i="7" s="1"/>
  <c r="S6" i="7"/>
  <c r="U6" i="7" s="1"/>
  <c r="W6" i="7" s="1"/>
  <c r="V12" i="6"/>
  <c r="S10" i="6"/>
  <c r="U10" i="6" s="1"/>
  <c r="W10" i="6" s="1"/>
  <c r="S9" i="6"/>
  <c r="U9" i="6" s="1"/>
  <c r="W9" i="6" s="1"/>
  <c r="S8" i="6"/>
  <c r="U8" i="6" s="1"/>
  <c r="W8" i="6" s="1"/>
  <c r="S7" i="6"/>
  <c r="U7" i="6" s="1"/>
  <c r="W7" i="6" s="1"/>
  <c r="S6" i="6"/>
  <c r="U6" i="6" s="1"/>
  <c r="W6" i="6" s="1"/>
  <c r="P3" i="10" l="1"/>
  <c r="L16" i="10"/>
  <c r="P7" i="10"/>
  <c r="R6" i="10"/>
  <c r="W12" i="6"/>
  <c r="W14" i="6" s="1"/>
  <c r="C4" i="10" s="1"/>
  <c r="N7" i="10"/>
  <c r="P6" i="10"/>
  <c r="N6" i="10"/>
  <c r="R7" i="10"/>
  <c r="W12" i="7"/>
  <c r="W14" i="7" s="1"/>
  <c r="C5" i="10" s="1"/>
  <c r="N4" i="10"/>
  <c r="P5" i="10"/>
  <c r="R4" i="10"/>
  <c r="R5" i="10"/>
  <c r="N5" i="10"/>
  <c r="P4" i="10"/>
  <c r="W12" i="8"/>
  <c r="W14" i="8" s="1"/>
  <c r="C6" i="10" s="1"/>
  <c r="R3" i="10" l="1"/>
  <c r="P16" i="10"/>
  <c r="N3" i="10"/>
  <c r="N16" i="10" l="1"/>
  <c r="N18" i="10" s="1"/>
  <c r="K21" i="10" s="1"/>
  <c r="R16" i="10"/>
  <c r="P18" i="10"/>
  <c r="K22" i="10" s="1"/>
  <c r="R18" i="10" l="1"/>
  <c r="K23" i="10" s="1"/>
  <c r="I21" i="4"/>
  <c r="I10" i="4"/>
  <c r="I22" i="4"/>
  <c r="I62" i="4"/>
  <c r="I48" i="4"/>
  <c r="I77" i="4"/>
  <c r="I38" i="4"/>
  <c r="I56" i="4"/>
  <c r="I41" i="4"/>
  <c r="I2" i="4"/>
  <c r="I60" i="4"/>
  <c r="I64" i="4"/>
  <c r="I15" i="4"/>
  <c r="I68" i="4"/>
  <c r="I42" i="4"/>
  <c r="I24" i="4"/>
  <c r="I76" i="4"/>
  <c r="I73" i="4"/>
  <c r="I14" i="4"/>
  <c r="I5" i="4"/>
  <c r="I57" i="4"/>
  <c r="I33" i="4"/>
  <c r="I9" i="4"/>
  <c r="I7" i="4"/>
  <c r="I29" i="4"/>
  <c r="I31" i="4"/>
  <c r="I71" i="4"/>
  <c r="I19" i="4"/>
  <c r="I25" i="4"/>
  <c r="I43" i="4"/>
  <c r="I75" i="4"/>
  <c r="I4" i="4"/>
  <c r="I50" i="4"/>
  <c r="I78" i="4"/>
  <c r="I32" i="4"/>
  <c r="I65" i="4"/>
  <c r="I55" i="4"/>
  <c r="I67" i="4"/>
  <c r="I72" i="4"/>
  <c r="I30" i="4"/>
  <c r="I3" i="4"/>
  <c r="I70" i="4"/>
  <c r="I69" i="4"/>
  <c r="I26" i="4"/>
  <c r="I28" i="4"/>
  <c r="I27" i="4"/>
  <c r="I59" i="4"/>
  <c r="I8" i="4"/>
  <c r="I6" i="4"/>
  <c r="I45" i="4"/>
  <c r="I34" i="4"/>
  <c r="I37" i="4"/>
  <c r="I44" i="4"/>
  <c r="I74" i="4"/>
  <c r="I11" i="4"/>
  <c r="I39" i="4"/>
  <c r="I66" i="4"/>
  <c r="I53" i="4"/>
  <c r="A23" i="2"/>
  <c r="T10" i="2"/>
  <c r="T9" i="2"/>
  <c r="B21" i="2" s="1"/>
  <c r="C21" i="2" s="1"/>
  <c r="T8" i="2"/>
  <c r="B20" i="2" s="1"/>
  <c r="C20" i="2" s="1"/>
  <c r="T7" i="2"/>
  <c r="B19" i="2" s="1"/>
  <c r="C19" i="2" s="1"/>
  <c r="T6" i="2"/>
  <c r="B18" i="2" s="1"/>
  <c r="C18" i="2" s="1"/>
  <c r="T5" i="2"/>
  <c r="B17" i="2" s="1"/>
  <c r="C17" i="2" s="1"/>
  <c r="I12" i="4" l="1"/>
  <c r="I13" i="4"/>
  <c r="I54" i="4"/>
  <c r="I20" i="4"/>
  <c r="I17" i="4"/>
  <c r="I63" i="4"/>
  <c r="I61" i="4"/>
  <c r="I47" i="4"/>
  <c r="I35" i="4"/>
  <c r="I40" i="4"/>
  <c r="I16" i="4"/>
  <c r="I58" i="4"/>
  <c r="I52" i="4"/>
  <c r="I36" i="4"/>
  <c r="I46" i="4"/>
  <c r="I49" i="4"/>
  <c r="I18" i="4"/>
  <c r="I23" i="4"/>
  <c r="I51" i="4"/>
  <c r="E18" i="10"/>
  <c r="E20" i="10" s="1"/>
  <c r="C23" i="2"/>
  <c r="B26" i="2" s="1"/>
  <c r="B45" i="1" s="1"/>
  <c r="I80" i="4" l="1"/>
  <c r="B56" i="1"/>
  <c r="C12" i="1"/>
  <c r="A23" i="1"/>
  <c r="D23" i="1"/>
  <c r="C6" i="1" l="1"/>
  <c r="C4" i="1"/>
  <c r="B37" i="1"/>
  <c r="B43" i="1" s="1"/>
  <c r="B54" i="1" s="1"/>
  <c r="B58" i="1" s="1"/>
  <c r="B47" i="1" l="1"/>
</calcChain>
</file>

<file path=xl/sharedStrings.xml><?xml version="1.0" encoding="utf-8"?>
<sst xmlns="http://schemas.openxmlformats.org/spreadsheetml/2006/main" count="2011" uniqueCount="632">
  <si>
    <t>Servizio Calore</t>
  </si>
  <si>
    <t>Costo base GJ</t>
  </si>
  <si>
    <t>Impianti di riscaldamento con misuratori di energia</t>
  </si>
  <si>
    <t>Numero edifici serviti</t>
  </si>
  <si>
    <t>Potenza impianti</t>
  </si>
  <si>
    <t>Tipo di combustibile</t>
  </si>
  <si>
    <t>Tetto Massimo GJ</t>
  </si>
  <si>
    <t>&gt;35 kW</t>
  </si>
  <si>
    <t>≥35 kW</t>
  </si>
  <si>
    <t>Metano</t>
  </si>
  <si>
    <t>Gasolio</t>
  </si>
  <si>
    <t>Teleriscaldamento</t>
  </si>
  <si>
    <t>Sconto Base d'Asta</t>
  </si>
  <si>
    <t>Costo Netto GJ</t>
  </si>
  <si>
    <t>Tetto massimo canone annuale base d'asta</t>
  </si>
  <si>
    <t>Tetto massimo canone annuale netto</t>
  </si>
  <si>
    <t>Parametri di revisione</t>
  </si>
  <si>
    <t>Ancoraggio contrattuale</t>
  </si>
  <si>
    <t>Rif. IV Trimestre 2012</t>
  </si>
  <si>
    <t>Incidenza Combustibile</t>
  </si>
  <si>
    <t>Quota fissa</t>
  </si>
  <si>
    <t>Parametri di Passaggio alla delibera 196/13</t>
  </si>
  <si>
    <t>Variazione combustibile</t>
  </si>
  <si>
    <t>Rif. IV Trimestre 2013</t>
  </si>
  <si>
    <t>Costo Netto GJ (Riparametrato)</t>
  </si>
  <si>
    <t>Passaggio alla Delibera 196/13</t>
  </si>
  <si>
    <t>Nuovi paramentri Contrattuali</t>
  </si>
  <si>
    <t>Lombardia, Trentino-Alto Adige, Veneto, Friuli-Venezia Giulia, Emilia-Romagna</t>
  </si>
  <si>
    <t>Quota energia (€/Smc)</t>
  </si>
  <si>
    <t>Smc/anno: da 0 a 120</t>
  </si>
  <si>
    <t>da121 a 480</t>
  </si>
  <si>
    <t>da 481 a 1.560</t>
  </si>
  <si>
    <t>da 1.561 a 5.000</t>
  </si>
  <si>
    <t>da 5.001 a 80.000</t>
  </si>
  <si>
    <t>da 80.001 a 200.000</t>
  </si>
  <si>
    <t>da 200.001 a 1 mln</t>
  </si>
  <si>
    <t>oltre 1 mln</t>
  </si>
  <si>
    <t>Quota fissa (€/anno)</t>
  </si>
  <si>
    <t>CONDOMINI CON USO DOMESTICO (**)</t>
  </si>
  <si>
    <t>Cmem</t>
  </si>
  <si>
    <t>CCR</t>
  </si>
  <si>
    <t>QVD</t>
  </si>
  <si>
    <t>QOA</t>
  </si>
  <si>
    <t>GRAD</t>
  </si>
  <si>
    <t>Cpr</t>
  </si>
  <si>
    <t>Servizi
di vendita</t>
  </si>
  <si>
    <t>τ1</t>
  </si>
  <si>
    <t>τ3</t>
  </si>
  <si>
    <t>QT</t>
  </si>
  <si>
    <t>UG1</t>
  </si>
  <si>
    <t>UG2</t>
  </si>
  <si>
    <t>GS</t>
  </si>
  <si>
    <t>RE</t>
  </si>
  <si>
    <t>RS</t>
  </si>
  <si>
    <t>Servizi di rete
e oneri</t>
  </si>
  <si>
    <t>TOTALE</t>
  </si>
  <si>
    <t xml:space="preserve">- - - </t>
  </si>
  <si>
    <t>Accise</t>
  </si>
  <si>
    <t>Importo Totale + Accise</t>
  </si>
  <si>
    <t>Prezzo medio Ponderato</t>
  </si>
  <si>
    <t xml:space="preserve"> Ambito nord orientale IV Trimestre 2013</t>
  </si>
  <si>
    <t>Tetto massimo canone annuale netto riparametrato</t>
  </si>
  <si>
    <t xml:space="preserve"> Lombardia, Trentino-Alto Adige, Veneto, Friuli-Venezia Giulia, Emilia-Romagna</t>
  </si>
  <si>
    <t>Condomini con uso domestico</t>
  </si>
  <si>
    <t>Materia
gas naturale</t>
  </si>
  <si>
    <t>Trasporto
e gestione del contatore</t>
  </si>
  <si>
    <t>Oneri di sistema</t>
  </si>
  <si>
    <t>Ambito nord orientale</t>
  </si>
  <si>
    <t>ST</t>
  </si>
  <si>
    <t>VR</t>
  </si>
  <si>
    <t>UG3</t>
  </si>
  <si>
    <t>Quota energia (euro/smc)</t>
  </si>
  <si>
    <t>consumo Smc/anno: da 0 a 120</t>
  </si>
  <si>
    <t xml:space="preserve">- </t>
  </si>
  <si>
    <t>Quota fissa (euro/anno)</t>
  </si>
  <si>
    <t>portata contatore: classe fino a G6</t>
  </si>
  <si>
    <t>classe da G10 a G40</t>
  </si>
  <si>
    <t>classe oltre G40</t>
  </si>
  <si>
    <t>Sconto bolletta elettronica</t>
  </si>
  <si>
    <t>Ai clienti che ricevono la bolletta in formato elettronico e la pagano con addebito automatico è applicato uno sconto di 12 euro/anno.</t>
  </si>
  <si>
    <t>PMP</t>
  </si>
  <si>
    <t>Tariffa</t>
  </si>
  <si>
    <t>Tariffa+Accise</t>
  </si>
  <si>
    <t>Scaglioni</t>
  </si>
  <si>
    <t>Importo</t>
  </si>
  <si>
    <t>Commessa Nuova</t>
  </si>
  <si>
    <t>CLIENTE</t>
  </si>
  <si>
    <t>IMPIANTO</t>
  </si>
  <si>
    <t>Categoria Contatore</t>
  </si>
  <si>
    <t>2015.G.0072.101</t>
  </si>
  <si>
    <t>S5072 101</t>
  </si>
  <si>
    <t>G</t>
  </si>
  <si>
    <t>COMUNE DI COMO</t>
  </si>
  <si>
    <t>Circ. N.9 - Civiglio - piazza Concordia</t>
  </si>
  <si>
    <t>G4</t>
  </si>
  <si>
    <t>2015.G.0072.035</t>
  </si>
  <si>
    <t>S5072 035</t>
  </si>
  <si>
    <t>Asilo Nido - via Longhena 10</t>
  </si>
  <si>
    <t>G16</t>
  </si>
  <si>
    <t>2015.G.0072.054</t>
  </si>
  <si>
    <t>S5072 054</t>
  </si>
  <si>
    <t>Piscina Sc. Media Foscolo via Borgovico  193</t>
  </si>
  <si>
    <t>G25</t>
  </si>
  <si>
    <t>2015.G.0072.055</t>
  </si>
  <si>
    <t>S5072 055</t>
  </si>
  <si>
    <t>Scuola Media Foscolo - via Borgovico 193</t>
  </si>
  <si>
    <t>G40</t>
  </si>
  <si>
    <t>2015.G.0072.064</t>
  </si>
  <si>
    <t>S5072 064</t>
  </si>
  <si>
    <t>Scuola Materna - via Briantea</t>
  </si>
  <si>
    <t>2015.G.0072.019</t>
  </si>
  <si>
    <t>S5072 019</t>
  </si>
  <si>
    <t>Palestra via Brogeda</t>
  </si>
  <si>
    <t>2015.G.0072.020</t>
  </si>
  <si>
    <t>S5072 020</t>
  </si>
  <si>
    <t>Scuola Elementare via Brogeda 21</t>
  </si>
  <si>
    <t>2015.G.0072.024</t>
  </si>
  <si>
    <t>S5072 024</t>
  </si>
  <si>
    <t>Scuola Materna via Amoretti</t>
  </si>
  <si>
    <t>2015.G.0072.100</t>
  </si>
  <si>
    <t>S5072 100</t>
  </si>
  <si>
    <t>Circ. N.7 - via Collegio dei Dottori</t>
  </si>
  <si>
    <t>2015.G.0072.050</t>
  </si>
  <si>
    <t>S5072 050</t>
  </si>
  <si>
    <t>Palestra Negretti via Partigiani 8</t>
  </si>
  <si>
    <t>2015.G.0072.004</t>
  </si>
  <si>
    <t>S5072 004</t>
  </si>
  <si>
    <t>C.S.E. via Del Doss</t>
  </si>
  <si>
    <t>G160</t>
  </si>
  <si>
    <t>2015.G.0072.056</t>
  </si>
  <si>
    <t>S5072 056</t>
  </si>
  <si>
    <t>Scuola Elementare e Media - piazza IV Novembre 1</t>
  </si>
  <si>
    <t>G100</t>
  </si>
  <si>
    <t>2015.G.0072.001</t>
  </si>
  <si>
    <t>S5072 001</t>
  </si>
  <si>
    <t>Asilo Nido - via di Lora 1</t>
  </si>
  <si>
    <t>2015.G.0072.026</t>
  </si>
  <si>
    <t>S5072 026</t>
  </si>
  <si>
    <t>Scuola Mat. via Don Monza /p.le Giotto</t>
  </si>
  <si>
    <t>2015.G.0072.062</t>
  </si>
  <si>
    <t>S5072 062</t>
  </si>
  <si>
    <t>Scuola Elementare - via Viganò/via Magenta</t>
  </si>
  <si>
    <t>2015.G.0072.021</t>
  </si>
  <si>
    <t>S5072 021</t>
  </si>
  <si>
    <t>Scuola Elementare via Fiume 2</t>
  </si>
  <si>
    <t>2015.G.0072.070</t>
  </si>
  <si>
    <t>S5072 070</t>
  </si>
  <si>
    <t>Scuola Media ed Elementare Via Friuli 10</t>
  </si>
  <si>
    <t>G65</t>
  </si>
  <si>
    <t>2015.G.0072.025</t>
  </si>
  <si>
    <t>S5072 025</t>
  </si>
  <si>
    <t>Scuola Mat. via Brambilla</t>
  </si>
  <si>
    <t>2015.G.0072.068</t>
  </si>
  <si>
    <t>S5072 068</t>
  </si>
  <si>
    <t>Scuola Media ed Elementare - via Brambilla 49</t>
  </si>
  <si>
    <t>2015.G.0072.007</t>
  </si>
  <si>
    <t>S5072 007</t>
  </si>
  <si>
    <t>Casa Famiglia (cucina) - via Brambilla 53</t>
  </si>
  <si>
    <t>G6</t>
  </si>
  <si>
    <t>2015.G.0072.065</t>
  </si>
  <si>
    <t>S5072 065</t>
  </si>
  <si>
    <t xml:space="preserve">Scuola Materna - via D'Annunzio </t>
  </si>
  <si>
    <t>2015.G.0072.069</t>
  </si>
  <si>
    <t>S5072 069</t>
  </si>
  <si>
    <t>Scuola Media Don Milani via Deledda 2</t>
  </si>
  <si>
    <t>2015.G.0072.033</t>
  </si>
  <si>
    <t>S5072 033</t>
  </si>
  <si>
    <t>Asilo Nido e Sc.Materna - via Giussani</t>
  </si>
  <si>
    <t>2015.G.0072.032</t>
  </si>
  <si>
    <t>S5072 032</t>
  </si>
  <si>
    <t>Palestra Univ. 3a età via Giulini</t>
  </si>
  <si>
    <t>2015.G.0072.066</t>
  </si>
  <si>
    <t>S5072 066</t>
  </si>
  <si>
    <t>Suola Materna - via Majocchi</t>
  </si>
  <si>
    <t>2015.G.0072.067</t>
  </si>
  <si>
    <t>S5072 067</t>
  </si>
  <si>
    <t>Scuola Materna - via Palma 1</t>
  </si>
  <si>
    <t>2015.G.0072.003</t>
  </si>
  <si>
    <t>S5072 003</t>
  </si>
  <si>
    <t xml:space="preserve">Asilo Nido via Segantini 45 </t>
  </si>
  <si>
    <t>2015.G.0072.029</t>
  </si>
  <si>
    <t>S5072 029</t>
  </si>
  <si>
    <t>Scuola Materna - via Segantini</t>
  </si>
  <si>
    <t>2015.G.0072.009</t>
  </si>
  <si>
    <t>S5072 009</t>
  </si>
  <si>
    <t>Comando Polizia Munic. - viale Innocenzo XI 18</t>
  </si>
  <si>
    <t>2015.G.0072.076</t>
  </si>
  <si>
    <t>S5072 076</t>
  </si>
  <si>
    <t>Uffici Comunali - via Italia Libera, 18</t>
  </si>
  <si>
    <t>2015.G.0072.008</t>
  </si>
  <si>
    <t>S5072 008</t>
  </si>
  <si>
    <t>Centro Sociale - via Negretti 4</t>
  </si>
  <si>
    <t>2015.G.0072.073</t>
  </si>
  <si>
    <t>S5072 073</t>
  </si>
  <si>
    <t>Sc. Media Via Picchi 6</t>
  </si>
  <si>
    <t>2015.G.0072.022</t>
  </si>
  <si>
    <t>S5072 022</t>
  </si>
  <si>
    <t xml:space="preserve"> Scuola Elementare via Giussani 81</t>
  </si>
  <si>
    <t>2015.G.0072.074</t>
  </si>
  <si>
    <t>S5072 074</t>
  </si>
  <si>
    <t>Scuola Media ed Elementare Via Spallanzani</t>
  </si>
  <si>
    <t>2015.G.0072.071</t>
  </si>
  <si>
    <t>S5072 071</t>
  </si>
  <si>
    <t>Scuola Media Parini via Gramsci 6</t>
  </si>
  <si>
    <t>2015.G.0072.027</t>
  </si>
  <si>
    <t>S5072 027</t>
  </si>
  <si>
    <t>Scuola Materna - via Mirabello</t>
  </si>
  <si>
    <t>2015.G.0072.097</t>
  </si>
  <si>
    <t>S5072 097</t>
  </si>
  <si>
    <t xml:space="preserve">Chiostro S.Eufemia - via Indipendenza </t>
  </si>
  <si>
    <t>2015.G.0072.017</t>
  </si>
  <si>
    <t>S5072 017</t>
  </si>
  <si>
    <t>S.Pietro in Atrio / Uff. Com. via Odescalchi 13</t>
  </si>
  <si>
    <t>2015.G.0072.002</t>
  </si>
  <si>
    <t>S5072 002</t>
  </si>
  <si>
    <t>Asilo Nido - via Palestro 17</t>
  </si>
  <si>
    <t>2015.G.0072.104</t>
  </si>
  <si>
    <t>S5072 104</t>
  </si>
  <si>
    <t>Ex Scuola Elementare - Via per Brunate, 30</t>
  </si>
  <si>
    <t>2015.G.0072.061</t>
  </si>
  <si>
    <t>S5072 061</t>
  </si>
  <si>
    <t>Scuola Elementare via Pio XI</t>
  </si>
  <si>
    <t>2015.G.0072.005</t>
  </si>
  <si>
    <t>S5072 005</t>
  </si>
  <si>
    <t>Case Comunali - via Polano</t>
  </si>
  <si>
    <t>2015.G.0072.046</t>
  </si>
  <si>
    <t>S5072 046</t>
  </si>
  <si>
    <t>Circ. N.1 - via S.Antonino 4</t>
  </si>
  <si>
    <t>G10</t>
  </si>
  <si>
    <t>2015.G.0072.048</t>
  </si>
  <si>
    <t>S5072 048</t>
  </si>
  <si>
    <t>Circ. N.6 - via Grandi 21</t>
  </si>
  <si>
    <t>2015.G.0072.016</t>
  </si>
  <si>
    <t>S5072 016</t>
  </si>
  <si>
    <t>Musei Civici - Piazza Medaglie d'Oro</t>
  </si>
  <si>
    <t>2015.G.0072.040</t>
  </si>
  <si>
    <t>S5072 040</t>
  </si>
  <si>
    <t>Case Comunali - via Spartaco</t>
  </si>
  <si>
    <t>2015.G.0072.096</t>
  </si>
  <si>
    <t>S5072 096</t>
  </si>
  <si>
    <t>Centro Accoglienza - via Valleggio</t>
  </si>
  <si>
    <t>2015.G.0072.010</t>
  </si>
  <si>
    <t>S5072 010</t>
  </si>
  <si>
    <t>Municipio - via Vitt. Emanuele II</t>
  </si>
  <si>
    <t>2015.G.0072.023</t>
  </si>
  <si>
    <t>S5072 023</t>
  </si>
  <si>
    <t>Scuola Elem. via XX Settembre 12</t>
  </si>
  <si>
    <t>2015.G.0072.037</t>
  </si>
  <si>
    <t>S5072 037</t>
  </si>
  <si>
    <t>Asilo Nido e Sc. Materna via Zezio 27</t>
  </si>
  <si>
    <t>2015.G.0072.013</t>
  </si>
  <si>
    <t>S5072 013</t>
  </si>
  <si>
    <t>Università / Ist. Carducci via Cavallotti 5</t>
  </si>
  <si>
    <t>2015.G.0072.028</t>
  </si>
  <si>
    <t>S5072 028</t>
  </si>
  <si>
    <t>Scuola Materna - viale Rosselli</t>
  </si>
  <si>
    <t>2015.G.0072.051</t>
  </si>
  <si>
    <t>S5072 051</t>
  </si>
  <si>
    <t>Piscina Sinigaglia - calcio como e palestra</t>
  </si>
  <si>
    <t>G250</t>
  </si>
  <si>
    <t>2015.G.0072.059</t>
  </si>
  <si>
    <t>S5072 059</t>
  </si>
  <si>
    <t>Sc. Elementare e Materna via Nicolodi 7</t>
  </si>
  <si>
    <t>2015.G.0072.075</t>
  </si>
  <si>
    <t>S5072 075</t>
  </si>
  <si>
    <t>Asilo Nido  - Via Bellinzona 76</t>
  </si>
  <si>
    <t>2015.G.0072.060</t>
  </si>
  <si>
    <t>S5072 060</t>
  </si>
  <si>
    <t>Sc. Elementare e Media - Via Pacinotti</t>
  </si>
  <si>
    <t>2015.G.0072.031</t>
  </si>
  <si>
    <t>S5072 031</t>
  </si>
  <si>
    <t>Scuola Materna via Volta</t>
  </si>
  <si>
    <t>2015.G.0072.057</t>
  </si>
  <si>
    <t>S5072 057</t>
  </si>
  <si>
    <t>Sc. Elementare e Mat. via Acquanera 15</t>
  </si>
  <si>
    <t>2015.G.0072.204</t>
  </si>
  <si>
    <t>S5072 204</t>
  </si>
  <si>
    <t>Liceo Boccioni Via Canova</t>
  </si>
  <si>
    <t>2015.G.0072.205</t>
  </si>
  <si>
    <t>S5072 205</t>
  </si>
  <si>
    <t>Pala San Pietro - Casnate C/Bernate</t>
  </si>
  <si>
    <t>VIA D'ANNUNZIO 52</t>
  </si>
  <si>
    <t>CENTRO CIVICO VIA FERABOSCO</t>
  </si>
  <si>
    <t>CIRC. N.2 VIA DI LORA</t>
  </si>
  <si>
    <t>CIRC. N.8 E SC. MATERNA VIA SEGANTINI/FERABOSCO</t>
  </si>
  <si>
    <t>SC. MEDIA MASSINA VIA
INTERLENGO</t>
  </si>
  <si>
    <t>SCUOLA ELEMENTARE VIA ISONZO</t>
  </si>
  <si>
    <t>SCUOLA MATERNA VIA TIBALDI</t>
  </si>
  <si>
    <t>SERRE MOGNANO</t>
  </si>
  <si>
    <t>VIA ITALIA LIBERA 4</t>
  </si>
  <si>
    <t>BAGNI PUBBLICI</t>
  </si>
  <si>
    <t>BIBLIOTECA VIA RAIMONDI</t>
  </si>
  <si>
    <t>CENTRO ACCOGLIENZA VIA SACCO E VANZETTI</t>
  </si>
  <si>
    <t>CENTRO ACCOGLIENZA VIA CONCILIAZIONE</t>
  </si>
  <si>
    <t>CENTRO CIVICO VIA CONCILIAZIONE</t>
  </si>
  <si>
    <t>ASILO NIDO VIA TIBALDI</t>
  </si>
  <si>
    <t>DELEGAZIONE VIGILI VIA CONCILIAZIONE</t>
  </si>
  <si>
    <t>CENTRO ACCOGLIENZA VIA TIBALDI</t>
  </si>
  <si>
    <t>Rilevamento</t>
  </si>
  <si>
    <t xml:space="preserve">dal </t>
  </si>
  <si>
    <t>al</t>
  </si>
  <si>
    <t>Giorni</t>
  </si>
  <si>
    <t>Categoria Contatore A</t>
  </si>
  <si>
    <t>Categoria Contatore B</t>
  </si>
  <si>
    <t>Categoria Contatore C</t>
  </si>
  <si>
    <t>Cat A</t>
  </si>
  <si>
    <t>Cat B</t>
  </si>
  <si>
    <t>Cat C</t>
  </si>
  <si>
    <t>Tipologia</t>
  </si>
  <si>
    <t>Importo 2018/2019</t>
  </si>
  <si>
    <t>Costo Netto GJ (Revisionato)</t>
  </si>
  <si>
    <t>Commessa old</t>
  </si>
  <si>
    <t>Cod. Cli</t>
  </si>
  <si>
    <t>Cod. Contratto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</si>
  <si>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</si>
  <si>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</si>
  <si>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</si>
  <si>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</si>
  <si>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</si>
  <si>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</si>
  <si>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</si>
  <si>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</si>
  <si>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</si>
  <si>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</si>
  <si>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</si>
  <si>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</si>
  <si>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5072G101</t>
  </si>
  <si>
    <t>02.12.022923</t>
  </si>
  <si>
    <t>2017/206</t>
  </si>
  <si>
    <t>5072G035</t>
  </si>
  <si>
    <t>2017/207</t>
  </si>
  <si>
    <t>5072G054</t>
  </si>
  <si>
    <t>2017/208</t>
  </si>
  <si>
    <t>5072G055</t>
  </si>
  <si>
    <t>2017/209</t>
  </si>
  <si>
    <t>5072G064</t>
  </si>
  <si>
    <t>2017/210</t>
  </si>
  <si>
    <t>5072G019</t>
  </si>
  <si>
    <t>2017/211</t>
  </si>
  <si>
    <t>5072G020</t>
  </si>
  <si>
    <t>2017/212</t>
  </si>
  <si>
    <t>5072G024</t>
  </si>
  <si>
    <t>2017/213</t>
  </si>
  <si>
    <t>5072G100</t>
  </si>
  <si>
    <t>2017/214</t>
  </si>
  <si>
    <t>5072G050</t>
  </si>
  <si>
    <t>2017/215</t>
  </si>
  <si>
    <t>5072G004</t>
  </si>
  <si>
    <t>2017/216</t>
  </si>
  <si>
    <t>5072G056</t>
  </si>
  <si>
    <t>2017/217</t>
  </si>
  <si>
    <t>5072G001</t>
  </si>
  <si>
    <t>2017/218</t>
  </si>
  <si>
    <t>5072G026</t>
  </si>
  <si>
    <t>2017/219</t>
  </si>
  <si>
    <t>5072G062</t>
  </si>
  <si>
    <t>2017/220</t>
  </si>
  <si>
    <t>5072G021</t>
  </si>
  <si>
    <t>2017/221</t>
  </si>
  <si>
    <t>5072G070</t>
  </si>
  <si>
    <t>2017/222</t>
  </si>
  <si>
    <t>5072G025</t>
  </si>
  <si>
    <t>2017/223</t>
  </si>
  <si>
    <t>5072G068</t>
  </si>
  <si>
    <t>2017/224</t>
  </si>
  <si>
    <t>5072G007</t>
  </si>
  <si>
    <t>2017/225</t>
  </si>
  <si>
    <t>5072G065</t>
  </si>
  <si>
    <t>2017/226</t>
  </si>
  <si>
    <t>5072G069</t>
  </si>
  <si>
    <t>2017/227</t>
  </si>
  <si>
    <t>5072G033</t>
  </si>
  <si>
    <t>2017/228</t>
  </si>
  <si>
    <t>5072G032</t>
  </si>
  <si>
    <t>2017/229</t>
  </si>
  <si>
    <t>5072G066</t>
  </si>
  <si>
    <t>2017/230</t>
  </si>
  <si>
    <t>5072G067</t>
  </si>
  <si>
    <t>2017/231</t>
  </si>
  <si>
    <t>5072G003</t>
  </si>
  <si>
    <t>2017/232</t>
  </si>
  <si>
    <t>5072G029</t>
  </si>
  <si>
    <t>2017/233</t>
  </si>
  <si>
    <t>5072G009</t>
  </si>
  <si>
    <t>2017/235</t>
  </si>
  <si>
    <t>5072G076</t>
  </si>
  <si>
    <t>2017/236</t>
  </si>
  <si>
    <t>5072G008</t>
  </si>
  <si>
    <t>2017/237</t>
  </si>
  <si>
    <t>5072G073</t>
  </si>
  <si>
    <t>2017/238</t>
  </si>
  <si>
    <t>5072G022</t>
  </si>
  <si>
    <t>2017/239</t>
  </si>
  <si>
    <t>5072G074</t>
  </si>
  <si>
    <t>2017/240</t>
  </si>
  <si>
    <t>5072G071</t>
  </si>
  <si>
    <t>2017/241</t>
  </si>
  <si>
    <t>5072G027</t>
  </si>
  <si>
    <t>2017/242</t>
  </si>
  <si>
    <t>5072G097</t>
  </si>
  <si>
    <t>2017/243</t>
  </si>
  <si>
    <t>5072G017</t>
  </si>
  <si>
    <t>2017/244</t>
  </si>
  <si>
    <t>5072G002</t>
  </si>
  <si>
    <t>2017/245</t>
  </si>
  <si>
    <t>5072G104</t>
  </si>
  <si>
    <t>2017/246</t>
  </si>
  <si>
    <t>5072G061</t>
  </si>
  <si>
    <t>2017/247</t>
  </si>
  <si>
    <t>5072G005</t>
  </si>
  <si>
    <t>2017/248</t>
  </si>
  <si>
    <t>5072G046</t>
  </si>
  <si>
    <t>2017/249</t>
  </si>
  <si>
    <t>5072G048</t>
  </si>
  <si>
    <t>2017/250</t>
  </si>
  <si>
    <t>5072G016</t>
  </si>
  <si>
    <t>2017/251</t>
  </si>
  <si>
    <t>5072G040</t>
  </si>
  <si>
    <t>2017/252</t>
  </si>
  <si>
    <t>5072G096</t>
  </si>
  <si>
    <t>2017/254</t>
  </si>
  <si>
    <t>5072G010</t>
  </si>
  <si>
    <t>2017/255</t>
  </si>
  <si>
    <t>5072G023</t>
  </si>
  <si>
    <t>2017/256</t>
  </si>
  <si>
    <t>5072G037</t>
  </si>
  <si>
    <t>2017/257</t>
  </si>
  <si>
    <t>5072G013</t>
  </si>
  <si>
    <t>2017/258</t>
  </si>
  <si>
    <t>5072G028</t>
  </si>
  <si>
    <t>2017/259</t>
  </si>
  <si>
    <t>5072G051</t>
  </si>
  <si>
    <t>2017/260</t>
  </si>
  <si>
    <t>5072G059</t>
  </si>
  <si>
    <t>2017/261</t>
  </si>
  <si>
    <t>5072G075</t>
  </si>
  <si>
    <t>2017/262</t>
  </si>
  <si>
    <t>5072G060</t>
  </si>
  <si>
    <t>2017/263</t>
  </si>
  <si>
    <t>5072G031</t>
  </si>
  <si>
    <t>2017/264</t>
  </si>
  <si>
    <t>5072G057</t>
  </si>
  <si>
    <t>2017/265</t>
  </si>
  <si>
    <t>5072G204</t>
  </si>
  <si>
    <t>2017/422</t>
  </si>
  <si>
    <t>5072G205</t>
  </si>
  <si>
    <t>2017/423</t>
  </si>
  <si>
    <t>PDR</t>
  </si>
  <si>
    <t>CONTATORE</t>
  </si>
  <si>
    <t>CORRETTORE</t>
  </si>
  <si>
    <t>commessa CPL</t>
  </si>
  <si>
    <t>città</t>
  </si>
  <si>
    <t>COD IP&amp;G</t>
  </si>
  <si>
    <t>Commessa</t>
  </si>
  <si>
    <t>Indirizzo</t>
  </si>
  <si>
    <t>Prov</t>
  </si>
  <si>
    <t>Cap</t>
  </si>
  <si>
    <t>utenza</t>
  </si>
  <si>
    <t>MW Stagione Termica 2017/2018</t>
  </si>
  <si>
    <t>03160000239227</t>
  </si>
  <si>
    <t>A3410395</t>
  </si>
  <si>
    <t>COMO</t>
  </si>
  <si>
    <t>2017/347</t>
  </si>
  <si>
    <t>2015.G.0072.006</t>
  </si>
  <si>
    <t>VIA SACCO E VANZETTI</t>
  </si>
  <si>
    <t>CO</t>
  </si>
  <si>
    <t>006-CENTRO ACCOGLIENZA VIA SACCO E VANZETTI (PRESTINO)</t>
  </si>
  <si>
    <t>03160000249003</t>
  </si>
  <si>
    <t>2017/342</t>
  </si>
  <si>
    <t>2015.G.0072.030</t>
  </si>
  <si>
    <t>VIA TIBALDI</t>
  </si>
  <si>
    <t>030-SCUOLA MATERNA VIA TIBALDI (TAVERNOLA)</t>
  </si>
  <si>
    <t>03160000239338</t>
  </si>
  <si>
    <t>2017/344</t>
  </si>
  <si>
    <t>2015.G.0072.034</t>
  </si>
  <si>
    <t>034-ASILO NIDO + CONSULTORIO VIA ITALIA LIBERA</t>
  </si>
  <si>
    <t>03160000237148</t>
  </si>
  <si>
    <t>2017/345</t>
  </si>
  <si>
    <t>2015.G.0072.038</t>
  </si>
  <si>
    <t>VIA SIRTORI</t>
  </si>
  <si>
    <t>038-BAGNI PUBBLICI VIA SIRTORI</t>
  </si>
  <si>
    <t>03160000251988</t>
  </si>
  <si>
    <t>13C026585</t>
  </si>
  <si>
    <t>2017/346</t>
  </si>
  <si>
    <t>2015.G.0072.039</t>
  </si>
  <si>
    <t>VIA RAIMONDI</t>
  </si>
  <si>
    <t>039-BIBLIOTECA VIA RAIMONDI / VIA VOLTA</t>
  </si>
  <si>
    <t>03160000249008</t>
  </si>
  <si>
    <t>2017/349</t>
  </si>
  <si>
    <t>2015.G.0072.042</t>
  </si>
  <si>
    <t>042-CENTRO ACCOGLIENZA VIA TIBALDI (TAVERNOLA)</t>
  </si>
  <si>
    <t>03160000248264</t>
  </si>
  <si>
    <t>ELS2YA12230001560</t>
  </si>
  <si>
    <t>2017/336</t>
  </si>
  <si>
    <t>2015.G.0072.043</t>
  </si>
  <si>
    <t>VIA FERABOSCO 11</t>
  </si>
  <si>
    <t>043-CENTRO CIVICO PALESTA ORTOFLORICOLA VIA FERABOSCO</t>
  </si>
  <si>
    <t>03160000234557</t>
  </si>
  <si>
    <t>2017/335</t>
  </si>
  <si>
    <t>2015.G.0072.044</t>
  </si>
  <si>
    <t>044-CENTRO CIVICO VIA D'ANNUNZIO</t>
  </si>
  <si>
    <t>03160000223666</t>
  </si>
  <si>
    <t>2017/350</t>
  </si>
  <si>
    <t>2015.G.0072.045</t>
  </si>
  <si>
    <t>VIA AMORETTI 30</t>
  </si>
  <si>
    <t>045-CENTRO ANZIANI VIA AMORETTI (MONTEOLIMPINO)</t>
  </si>
  <si>
    <t>03160000239225</t>
  </si>
  <si>
    <t>13C025741</t>
  </si>
  <si>
    <t>2017/341</t>
  </si>
  <si>
    <t>2015.G.0072.058</t>
  </si>
  <si>
    <t>VIA ISONZO 25</t>
  </si>
  <si>
    <t>058-SCUOLA ELEMENTARE VIA ISONZO (PRESTINO)</t>
  </si>
  <si>
    <t>03160000239095</t>
  </si>
  <si>
    <t>13C026630</t>
  </si>
  <si>
    <t>2017/340</t>
  </si>
  <si>
    <t>2015.G.0072.072</t>
  </si>
  <si>
    <t>VIA INTERLENGO</t>
  </si>
  <si>
    <t>072-SCUOLA MEDIA MASSINA VIA INTERLENGO ( MONTEOLIMPINO)</t>
  </si>
  <si>
    <t>03160000221414</t>
  </si>
  <si>
    <t>2017/339</t>
  </si>
  <si>
    <t>2015.G.0072.102</t>
  </si>
  <si>
    <t>VIA BELLINZONA</t>
  </si>
  <si>
    <t>102-DELEGAZIONE VIGILI VIA BELLINZONA</t>
  </si>
  <si>
    <t>03160000245504</t>
  </si>
  <si>
    <t>ECS153402533017</t>
  </si>
  <si>
    <t>2017/343</t>
  </si>
  <si>
    <t>2015.G.0072.018</t>
  </si>
  <si>
    <t>VIA PIO XI</t>
  </si>
  <si>
    <t>018-SERRE MOGNANO VIA PIO XI / VIA MOGNANO (SAGNINO)</t>
  </si>
  <si>
    <t>03160000227696</t>
  </si>
  <si>
    <t>FIO0030D17000286</t>
  </si>
  <si>
    <t>2017/351</t>
  </si>
  <si>
    <t>2015.G.0072.041</t>
  </si>
  <si>
    <t>VIA CONCILIAZIONE 69</t>
  </si>
  <si>
    <t>041-CENTRO CIVICO + FARMACIA +PT VIA CONCILIAZIONE N.69</t>
  </si>
  <si>
    <t>03160000229289</t>
  </si>
  <si>
    <t>FIO0030D17000142</t>
  </si>
  <si>
    <t>2017/337</t>
  </si>
  <si>
    <t>2015.G.0072.047</t>
  </si>
  <si>
    <t>VIA DI LORA 22</t>
  </si>
  <si>
    <t>047-CIRC. N.2 VIA DI LORA</t>
  </si>
  <si>
    <t>03160000237014</t>
  </si>
  <si>
    <t>FIO0030D1700515</t>
  </si>
  <si>
    <t>2017/338</t>
  </si>
  <si>
    <t>2015.G.0072.049</t>
  </si>
  <si>
    <t>VIA SEGANTINI</t>
  </si>
  <si>
    <t>049-CIRC. N.8 E SC. MATERNA VIA SEGANTINI / FERABOSCO</t>
  </si>
  <si>
    <t>03160000227507</t>
  </si>
  <si>
    <t>FIO0030D17000262</t>
  </si>
  <si>
    <t>2017/348</t>
  </si>
  <si>
    <t>2015.G.0072.108</t>
  </si>
  <si>
    <t>VIA CONCILIAZIONE 53</t>
  </si>
  <si>
    <t>108-CENTRO ACCOGLIENZA FAMIGLIE DI LAVORATORI IN DIFFICOLTÀ (PIANO TERRA E PRIMO) VIA CONCILIAZIONE</t>
  </si>
  <si>
    <t>03160000249007</t>
  </si>
  <si>
    <t>MTSB030430033062</t>
  </si>
  <si>
    <t>2017/334</t>
  </si>
  <si>
    <t>2015.G.0072.036</t>
  </si>
  <si>
    <t>036-ASILO NIDO VIA TIBALDI</t>
  </si>
  <si>
    <t>Lettura Finale</t>
  </si>
  <si>
    <t>Consumo</t>
  </si>
  <si>
    <t>Numero impianto</t>
  </si>
  <si>
    <t>Edificio</t>
  </si>
  <si>
    <t>Dal</t>
  </si>
  <si>
    <t>Lettura iniziale</t>
  </si>
  <si>
    <t>Al</t>
  </si>
  <si>
    <t>Mw Presunti</t>
  </si>
  <si>
    <t>Cod. Servizio</t>
  </si>
  <si>
    <t>Maggio/Settembre</t>
  </si>
  <si>
    <t>Importo Medio</t>
  </si>
  <si>
    <t>Aprile/Maggio</t>
  </si>
  <si>
    <t>Tetto consumi [MWh]</t>
  </si>
  <si>
    <t>Tot Consumi</t>
  </si>
  <si>
    <t>Importo Unitario €/MWh</t>
  </si>
  <si>
    <t>Ricavi Stagione 2018/2019</t>
  </si>
  <si>
    <t>Costi Stagione 2018/2019</t>
  </si>
  <si>
    <t>2015.G.0072.085</t>
  </si>
  <si>
    <t>ex Asilo Nido (Cooperativa il seme)</t>
  </si>
  <si>
    <t>via Lissi, 2</t>
  </si>
  <si>
    <t>2015.G.0072.086</t>
  </si>
  <si>
    <t xml:space="preserve">Asilo Nido e Circ. N.3 </t>
  </si>
  <si>
    <t>via Varesina (Camerlata)</t>
  </si>
  <si>
    <t>2015.G.0072.087</t>
  </si>
  <si>
    <t xml:space="preserve">Campo CONI </t>
  </si>
  <si>
    <t>via Canturina (Albate)</t>
  </si>
  <si>
    <t>2015.G.0072.088</t>
  </si>
  <si>
    <t>Case Comunali</t>
  </si>
  <si>
    <t>via S.Bernardino da Siena</t>
  </si>
  <si>
    <t>2015.G.0072.089</t>
  </si>
  <si>
    <t xml:space="preserve">Case Comunali </t>
  </si>
  <si>
    <t>via Turati</t>
  </si>
  <si>
    <t>2015.G.0072.090</t>
  </si>
  <si>
    <t>Laboratorio</t>
  </si>
  <si>
    <t>via Stazzi</t>
  </si>
  <si>
    <t>2015.G.0072.091</t>
  </si>
  <si>
    <t xml:space="preserve">Scuola Elementare </t>
  </si>
  <si>
    <t>via Montelungo</t>
  </si>
  <si>
    <t>2015.G.0072.092</t>
  </si>
  <si>
    <t xml:space="preserve">Scuola Materna </t>
  </si>
  <si>
    <t>Salita Capuccini (Como Sole)</t>
  </si>
  <si>
    <t>2015.G.0072.093</t>
  </si>
  <si>
    <t>Scuola Media Fogazzaro</t>
  </si>
  <si>
    <t>via Cuzzi (Rebbio)</t>
  </si>
  <si>
    <t>2015.G.0072.094</t>
  </si>
  <si>
    <t>Scuola Materna</t>
  </si>
  <si>
    <t>via Varesina</t>
  </si>
  <si>
    <t>2015.G.0072.095</t>
  </si>
  <si>
    <t xml:space="preserve">Centro Sportivo </t>
  </si>
  <si>
    <t>Muggiò</t>
  </si>
  <si>
    <t>Giugno/Settembre</t>
  </si>
  <si>
    <t>Pdr</t>
  </si>
  <si>
    <t>agosto 2023</t>
  </si>
  <si>
    <t>settembre 2023</t>
  </si>
  <si>
    <r>
      <t>C</t>
    </r>
    <r>
      <rPr>
        <i/>
        <sz val="8"/>
        <color indexed="23"/>
        <rFont val="Calibri"/>
        <family val="2"/>
      </rPr>
      <t>MEMm</t>
    </r>
  </si>
  <si>
    <t>da 121 a 480</t>
  </si>
  <si>
    <t>Ambito nord occidentale</t>
  </si>
  <si>
    <t>PMP Energia Erogata 2024-25</t>
  </si>
  <si>
    <t>2024/2025</t>
  </si>
  <si>
    <t>ottobre 2024</t>
  </si>
  <si>
    <t>novembre 2024</t>
  </si>
  <si>
    <t>dicembre 2024</t>
  </si>
  <si>
    <t>gennaio 2025</t>
  </si>
  <si>
    <t>febbraio 2025</t>
  </si>
  <si>
    <t>marzo 2025</t>
  </si>
  <si>
    <t>aprile 2025</t>
  </si>
  <si>
    <t>1 Maggio - 31 Maggio 2025</t>
  </si>
  <si>
    <t>giugno 2025</t>
  </si>
  <si>
    <t>luglio 2025</t>
  </si>
  <si>
    <t>Variazione Combustibile 2024/2025 PMP</t>
  </si>
  <si>
    <t>MWh</t>
  </si>
  <si>
    <t>GJ totali</t>
  </si>
  <si>
    <t xml:space="preserve">PMP </t>
  </si>
  <si>
    <t>Revisione Prezzi  Stsgione  2024-25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</si>
</sst>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00000"/>
    <numFmt numFmtId="167" formatCode="#,##0.000000"/>
    <numFmt numFmtId="168" formatCode="#,##0.000000_ ;\-#,##0.000000\ "/>
    <numFmt numFmtId="169" formatCode="#,##0.00_ ;\-#,##0.00\ "/>
    <numFmt numFmtId="170" formatCode="_-* #,##0.00000\ &quot;€&quot;_-;\-* #,##0.00000\ &quot;€&quot;_-;_-* &quot;-&quot;??\ &quot;€&quot;_-;_-@_-"/>
    <numFmt numFmtId="171" formatCode="_-* #,##0.00\ [$€-410]_-;\-* #,##0.00\ [$€-410]_-;_-* &quot;-&quot;??\ [$€-410]_-;_-@_-"/>
    <numFmt numFmtId="172" formatCode="_-* #,##0.000000\ &quot;€&quot;_-;\-* #,##0.000000\ &quot;€&quot;_-;_-* &quot;-&quot;??\ &quot;€&quot;_-;_-@_-"/>
    <numFmt numFmtId="173" formatCode="0.0%"/>
    <numFmt numFmtId="174" formatCode="#,##0.0000_ ;\-#,##0.0000\ "/>
    <numFmt numFmtId="175" formatCode="0.000000_ ;\-0.000000\ "/>
    <numFmt numFmtId="176" formatCode="_-* #,##0.0000000\ [$€-410]_-;\-* #,##0.0000000\ [$€-410]_-;_-* &quot;-&quot;??\ [$€-410]_-;_-@_-"/>
    <numFmt numFmtId="177" formatCode="_-* #,##0.00_-;\-* #,##0.00_-;_-* \-_-;_-@_-"/>
    <numFmt numFmtId="178" formatCode="_-* #,##0.0000\ &quot;€&quot;_-;\-* #,##0.0000\ &quot;€&quot;_-;_-* &quot;-&quot;??\ &quot;€&quot;_-;_-@_-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1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8"/>
      <name val="Calibri"/>
      <family val="2"/>
    </font>
    <font>
      <b/>
      <sz val="10"/>
      <color indexed="9"/>
      <name val="Calibri"/>
      <family val="2"/>
    </font>
    <font>
      <i/>
      <sz val="10"/>
      <color theme="0" tint="-0.499984740745262"/>
      <name val="Calibri"/>
      <family val="2"/>
    </font>
    <font>
      <sz val="9"/>
      <color theme="0" tint="-0.499984740745262"/>
      <name val="Calibri"/>
      <family val="2"/>
    </font>
    <font>
      <i/>
      <sz val="9"/>
      <color theme="0" tint="-0.499984740745262"/>
      <name val="Calibri"/>
      <family val="2"/>
    </font>
    <font>
      <i/>
      <sz val="10"/>
      <name val="Calibri"/>
      <family val="2"/>
    </font>
    <font>
      <b/>
      <sz val="12"/>
      <color theme="4" tint="-0.249977111117893"/>
      <name val="Calibri"/>
      <family val="2"/>
    </font>
    <font>
      <sz val="10"/>
      <name val="Arial"/>
      <family val="2"/>
    </font>
    <font>
      <b/>
      <i/>
      <sz val="10"/>
      <name val="Calibri"/>
      <family val="2"/>
    </font>
    <font>
      <i/>
      <sz val="8"/>
      <name val="Calibri"/>
      <family val="2"/>
    </font>
    <font>
      <sz val="10"/>
      <color rgb="FF000000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color rgb="FF000000"/>
      <name val="Calibri"/>
      <family val="2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i/>
      <sz val="8"/>
      <color indexed="23"/>
      <name val="Calibri"/>
      <family val="2"/>
    </font>
    <font>
      <b/>
      <sz val="10"/>
      <color indexed="12"/>
      <name val="Calibri"/>
      <family val="2"/>
    </font>
    <font>
      <sz val="9"/>
      <color theme="4" tint="-0.499984740745262"/>
      <name val="Calibri"/>
      <family val="2"/>
    </font>
    <font>
      <i/>
      <sz val="9"/>
      <color theme="4" tint="-0.499984740745262"/>
      <name val="Calibri"/>
      <family val="2"/>
    </font>
    <font>
      <sz val="10"/>
      <color theme="4" tint="-0.499984740745262"/>
      <name val="Calibri"/>
      <family val="2"/>
    </font>
    <font>
      <b/>
      <sz val="14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rgb="FF000000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/>
    <xf numFmtId="0" fontId="16" fillId="0" borderId="0"/>
    <xf numFmtId="41" fontId="16" fillId="0" borderId="0" applyFont="0" applyFill="0" applyBorder="0" applyAlignment="0" applyProtection="0"/>
  </cellStyleXfs>
  <cellXfs count="318">
    <xf numFmtId="0" fontId="0" fillId="0" borderId="0" xfId="0"/>
    <xf numFmtId="44" fontId="0" fillId="0" borderId="0" xfId="2" applyFont="1"/>
    <xf numFmtId="0" fontId="3" fillId="0" borderId="0" xfId="0" applyFont="1"/>
    <xf numFmtId="0" fontId="4" fillId="0" borderId="0" xfId="0" applyFont="1"/>
    <xf numFmtId="165" fontId="3" fillId="0" borderId="0" xfId="1" applyFont="1"/>
    <xf numFmtId="165" fontId="3" fillId="0" borderId="0" xfId="0" applyNumberFormat="1" applyFont="1"/>
    <xf numFmtId="9" fontId="3" fillId="0" borderId="0" xfId="0" applyNumberFormat="1" applyFont="1" applyAlignment="1">
      <alignment horizontal="center" vertical="center"/>
    </xf>
    <xf numFmtId="44" fontId="3" fillId="0" borderId="0" xfId="2" applyFont="1"/>
    <xf numFmtId="44" fontId="4" fillId="0" borderId="0" xfId="2" applyFont="1"/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165" fontId="3" fillId="0" borderId="1" xfId="1" applyFont="1" applyBorder="1"/>
    <xf numFmtId="0" fontId="5" fillId="0" borderId="1" xfId="0" applyFont="1" applyBorder="1" applyAlignment="1">
      <alignment horizontal="center" vertical="center"/>
    </xf>
    <xf numFmtId="0" fontId="4" fillId="2" borderId="0" xfId="0" applyFont="1" applyFill="1"/>
    <xf numFmtId="165" fontId="4" fillId="2" borderId="0" xfId="0" applyNumberFormat="1" applyFont="1" applyFill="1"/>
    <xf numFmtId="0" fontId="0" fillId="2" borderId="0" xfId="0" applyFill="1"/>
    <xf numFmtId="0" fontId="3" fillId="2" borderId="0" xfId="0" applyFont="1" applyFill="1"/>
    <xf numFmtId="166" fontId="3" fillId="2" borderId="0" xfId="0" applyNumberFormat="1" applyFont="1" applyFill="1"/>
    <xf numFmtId="9" fontId="3" fillId="2" borderId="0" xfId="0" applyNumberFormat="1" applyFont="1" applyFill="1"/>
    <xf numFmtId="0" fontId="4" fillId="2" borderId="8" xfId="0" applyFont="1" applyFill="1" applyBorder="1"/>
    <xf numFmtId="0" fontId="0" fillId="2" borderId="9" xfId="0" applyFill="1" applyBorder="1"/>
    <xf numFmtId="0" fontId="4" fillId="2" borderId="9" xfId="0" applyFont="1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4" fillId="2" borderId="11" xfId="0" applyFont="1" applyFill="1" applyBorder="1"/>
    <xf numFmtId="0" fontId="4" fillId="2" borderId="13" xfId="0" applyFont="1" applyFill="1" applyBorder="1"/>
    <xf numFmtId="44" fontId="3" fillId="2" borderId="14" xfId="2" applyFont="1" applyFill="1" applyBorder="1"/>
    <xf numFmtId="0" fontId="0" fillId="2" borderId="14" xfId="0" applyFill="1" applyBorder="1"/>
    <xf numFmtId="0" fontId="0" fillId="2" borderId="15" xfId="0" applyFill="1" applyBorder="1"/>
    <xf numFmtId="0" fontId="6" fillId="3" borderId="0" xfId="0" applyFont="1" applyFill="1" applyAlignment="1" applyProtection="1">
      <alignment horizontal="left" vertical="center"/>
      <protection locked="0"/>
    </xf>
    <xf numFmtId="0" fontId="8" fillId="3" borderId="16" xfId="0" applyFont="1" applyFill="1" applyBorder="1" applyAlignment="1">
      <alignment vertical="center"/>
    </xf>
    <xf numFmtId="167" fontId="9" fillId="3" borderId="18" xfId="0" applyNumberFormat="1" applyFont="1" applyFill="1" applyBorder="1" applyAlignment="1">
      <alignment horizontal="right" vertical="center"/>
    </xf>
    <xf numFmtId="167" fontId="9" fillId="3" borderId="17" xfId="0" applyNumberFormat="1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11" fillId="6" borderId="17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168" fontId="12" fillId="6" borderId="5" xfId="0" applyNumberFormat="1" applyFont="1" applyFill="1" applyBorder="1" applyAlignment="1">
      <alignment horizontal="right" vertical="center"/>
    </xf>
    <xf numFmtId="168" fontId="12" fillId="6" borderId="18" xfId="0" applyNumberFormat="1" applyFont="1" applyFill="1" applyBorder="1" applyAlignment="1">
      <alignment horizontal="right" vertical="center"/>
    </xf>
    <xf numFmtId="168" fontId="12" fillId="6" borderId="0" xfId="0" applyNumberFormat="1" applyFont="1" applyFill="1" applyAlignment="1">
      <alignment horizontal="right" vertical="center"/>
    </xf>
    <xf numFmtId="168" fontId="12" fillId="6" borderId="6" xfId="0" applyNumberFormat="1" applyFont="1" applyFill="1" applyBorder="1" applyAlignment="1">
      <alignment horizontal="right" vertical="center"/>
    </xf>
    <xf numFmtId="168" fontId="7" fillId="3" borderId="16" xfId="0" applyNumberFormat="1" applyFont="1" applyFill="1" applyBorder="1" applyAlignment="1">
      <alignment horizontal="right" vertical="center"/>
    </xf>
    <xf numFmtId="168" fontId="12" fillId="3" borderId="3" xfId="0" applyNumberFormat="1" applyFont="1" applyFill="1" applyBorder="1" applyAlignment="1">
      <alignment horizontal="right" vertical="center"/>
    </xf>
    <xf numFmtId="168" fontId="12" fillId="3" borderId="16" xfId="0" applyNumberFormat="1" applyFont="1" applyFill="1" applyBorder="1" applyAlignment="1">
      <alignment horizontal="right" vertical="center"/>
    </xf>
    <xf numFmtId="168" fontId="12" fillId="3" borderId="4" xfId="0" applyNumberFormat="1" applyFont="1" applyFill="1" applyBorder="1" applyAlignment="1">
      <alignment horizontal="right" vertical="center"/>
    </xf>
    <xf numFmtId="168" fontId="7" fillId="4" borderId="4" xfId="0" applyNumberFormat="1" applyFont="1" applyFill="1" applyBorder="1" applyAlignment="1">
      <alignment horizontal="right" vertical="center"/>
    </xf>
    <xf numFmtId="168" fontId="14" fillId="3" borderId="0" xfId="0" applyNumberFormat="1" applyFont="1" applyFill="1" applyAlignment="1">
      <alignment horizontal="right" vertical="center"/>
    </xf>
    <xf numFmtId="168" fontId="13" fillId="3" borderId="18" xfId="0" applyNumberFormat="1" applyFont="1" applyFill="1" applyBorder="1" applyAlignment="1">
      <alignment horizontal="right" vertical="center"/>
    </xf>
    <xf numFmtId="168" fontId="13" fillId="3" borderId="6" xfId="0" applyNumberFormat="1" applyFont="1" applyFill="1" applyBorder="1" applyAlignment="1">
      <alignment horizontal="right" vertical="center"/>
    </xf>
    <xf numFmtId="168" fontId="7" fillId="3" borderId="18" xfId="0" applyNumberFormat="1" applyFont="1" applyFill="1" applyBorder="1" applyAlignment="1">
      <alignment horizontal="right" vertical="center"/>
    </xf>
    <xf numFmtId="168" fontId="7" fillId="4" borderId="18" xfId="0" applyNumberFormat="1" applyFont="1" applyFill="1" applyBorder="1" applyAlignment="1">
      <alignment horizontal="right" vertical="center"/>
    </xf>
    <xf numFmtId="168" fontId="13" fillId="6" borderId="18" xfId="0" quotePrefix="1" applyNumberFormat="1" applyFont="1" applyFill="1" applyBorder="1" applyAlignment="1">
      <alignment horizontal="right" vertical="center"/>
    </xf>
    <xf numFmtId="168" fontId="7" fillId="3" borderId="18" xfId="0" quotePrefix="1" applyNumberFormat="1" applyFont="1" applyFill="1" applyBorder="1" applyAlignment="1">
      <alignment horizontal="right" vertical="center"/>
    </xf>
    <xf numFmtId="168" fontId="13" fillId="3" borderId="18" xfId="0" quotePrefix="1" applyNumberFormat="1" applyFont="1" applyFill="1" applyBorder="1" applyAlignment="1">
      <alignment horizontal="right" vertical="center"/>
    </xf>
    <xf numFmtId="168" fontId="7" fillId="4" borderId="18" xfId="0" quotePrefix="1" applyNumberFormat="1" applyFont="1" applyFill="1" applyBorder="1" applyAlignment="1">
      <alignment horizontal="right" vertical="center"/>
    </xf>
    <xf numFmtId="169" fontId="13" fillId="6" borderId="19" xfId="0" applyNumberFormat="1" applyFont="1" applyFill="1" applyBorder="1" applyAlignment="1">
      <alignment horizontal="right" vertical="center"/>
    </xf>
    <xf numFmtId="169" fontId="13" fillId="6" borderId="2" xfId="0" applyNumberFormat="1" applyFont="1" applyFill="1" applyBorder="1" applyAlignment="1">
      <alignment horizontal="right" vertical="center"/>
    </xf>
    <xf numFmtId="169" fontId="13" fillId="6" borderId="20" xfId="0" applyNumberFormat="1" applyFont="1" applyFill="1" applyBorder="1" applyAlignment="1">
      <alignment horizontal="right" vertical="center"/>
    </xf>
    <xf numFmtId="169" fontId="13" fillId="6" borderId="21" xfId="0" applyNumberFormat="1" applyFont="1" applyFill="1" applyBorder="1" applyAlignment="1">
      <alignment horizontal="right" vertical="center"/>
    </xf>
    <xf numFmtId="169" fontId="7" fillId="3" borderId="2" xfId="0" applyNumberFormat="1" applyFont="1" applyFill="1" applyBorder="1" applyAlignment="1">
      <alignment horizontal="right" vertical="center"/>
    </xf>
    <xf numFmtId="169" fontId="13" fillId="3" borderId="2" xfId="0" applyNumberFormat="1" applyFont="1" applyFill="1" applyBorder="1" applyAlignment="1">
      <alignment horizontal="right" vertical="center"/>
    </xf>
    <xf numFmtId="169" fontId="7" fillId="4" borderId="2" xfId="0" applyNumberFormat="1" applyFont="1" applyFill="1" applyBorder="1" applyAlignment="1">
      <alignment horizontal="right" vertical="center"/>
    </xf>
    <xf numFmtId="0" fontId="8" fillId="4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170" fontId="3" fillId="0" borderId="0" xfId="2" applyNumberFormat="1" applyFont="1"/>
    <xf numFmtId="171" fontId="3" fillId="0" borderId="0" xfId="2" applyNumberFormat="1" applyFont="1"/>
    <xf numFmtId="171" fontId="3" fillId="0" borderId="0" xfId="0" applyNumberFormat="1" applyFont="1"/>
    <xf numFmtId="44" fontId="3" fillId="0" borderId="0" xfId="0" applyNumberFormat="1" applyFont="1"/>
    <xf numFmtId="44" fontId="0" fillId="0" borderId="0" xfId="0" applyNumberFormat="1"/>
    <xf numFmtId="0" fontId="15" fillId="6" borderId="0" xfId="0" applyFont="1" applyFill="1" applyAlignment="1" applyProtection="1">
      <alignment horizontal="left" vertical="center"/>
      <protection locked="0"/>
    </xf>
    <xf numFmtId="4" fontId="7" fillId="3" borderId="0" xfId="0" applyNumberFormat="1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7" fillId="6" borderId="16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175" fontId="12" fillId="3" borderId="3" xfId="0" applyNumberFormat="1" applyFont="1" applyFill="1" applyBorder="1" applyAlignment="1">
      <alignment horizontal="right" vertical="center"/>
    </xf>
    <xf numFmtId="175" fontId="12" fillId="3" borderId="16" xfId="0" applyNumberFormat="1" applyFont="1" applyFill="1" applyBorder="1" applyAlignment="1">
      <alignment horizontal="right" vertical="center"/>
    </xf>
    <xf numFmtId="175" fontId="7" fillId="3" borderId="3" xfId="0" applyNumberFormat="1" applyFont="1" applyFill="1" applyBorder="1" applyAlignment="1">
      <alignment vertical="center"/>
    </xf>
    <xf numFmtId="175" fontId="7" fillId="3" borderId="16" xfId="0" applyNumberFormat="1" applyFont="1" applyFill="1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175" fontId="13" fillId="3" borderId="0" xfId="0" applyNumberFormat="1" applyFont="1" applyFill="1" applyAlignment="1">
      <alignment horizontal="right" vertical="center"/>
    </xf>
    <xf numFmtId="175" fontId="7" fillId="3" borderId="18" xfId="0" applyNumberFormat="1" applyFont="1" applyFill="1" applyBorder="1" applyAlignment="1">
      <alignment vertical="center"/>
    </xf>
    <xf numFmtId="175" fontId="13" fillId="3" borderId="18" xfId="0" applyNumberFormat="1" applyFont="1" applyFill="1" applyBorder="1" applyAlignment="1">
      <alignment horizontal="right" vertical="center"/>
    </xf>
    <xf numFmtId="168" fontId="7" fillId="3" borderId="6" xfId="0" applyNumberFormat="1" applyFont="1" applyFill="1" applyBorder="1" applyAlignment="1">
      <alignment vertical="center"/>
    </xf>
    <xf numFmtId="168" fontId="7" fillId="3" borderId="0" xfId="0" applyNumberFormat="1" applyFont="1" applyFill="1" applyAlignment="1">
      <alignment vertical="center"/>
    </xf>
    <xf numFmtId="175" fontId="13" fillId="3" borderId="17" xfId="0" applyNumberFormat="1" applyFont="1" applyFill="1" applyBorder="1" applyAlignment="1">
      <alignment horizontal="right" vertical="center"/>
    </xf>
    <xf numFmtId="0" fontId="8" fillId="3" borderId="23" xfId="0" applyFont="1" applyFill="1" applyBorder="1" applyAlignment="1">
      <alignment vertical="center"/>
    </xf>
    <xf numFmtId="169" fontId="13" fillId="3" borderId="16" xfId="0" applyNumberFormat="1" applyFont="1" applyFill="1" applyBorder="1" applyAlignment="1">
      <alignment horizontal="right" vertical="center"/>
    </xf>
    <xf numFmtId="169" fontId="13" fillId="3" borderId="4" xfId="0" applyNumberFormat="1" applyFont="1" applyFill="1" applyBorder="1" applyAlignment="1">
      <alignment horizontal="right" vertical="center"/>
    </xf>
    <xf numFmtId="169" fontId="7" fillId="3" borderId="16" xfId="0" applyNumberFormat="1" applyFont="1" applyFill="1" applyBorder="1" applyAlignment="1">
      <alignment vertical="center"/>
    </xf>
    <xf numFmtId="169" fontId="13" fillId="3" borderId="23" xfId="0" applyNumberFormat="1" applyFont="1" applyFill="1" applyBorder="1" applyAlignment="1">
      <alignment horizontal="right" vertical="center"/>
    </xf>
    <xf numFmtId="169" fontId="13" fillId="3" borderId="3" xfId="0" applyNumberFormat="1" applyFont="1" applyFill="1" applyBorder="1" applyAlignment="1">
      <alignment horizontal="right" vertical="center"/>
    </xf>
    <xf numFmtId="0" fontId="7" fillId="3" borderId="16" xfId="0" applyFont="1" applyFill="1" applyBorder="1" applyAlignment="1">
      <alignment vertical="center"/>
    </xf>
    <xf numFmtId="167" fontId="9" fillId="3" borderId="5" xfId="0" applyNumberFormat="1" applyFont="1" applyFill="1" applyBorder="1" applyAlignment="1">
      <alignment horizontal="right" vertical="center"/>
    </xf>
    <xf numFmtId="169" fontId="13" fillId="3" borderId="5" xfId="0" applyNumberFormat="1" applyFont="1" applyFill="1" applyBorder="1" applyAlignment="1">
      <alignment horizontal="right" vertical="center"/>
    </xf>
    <xf numFmtId="169" fontId="7" fillId="3" borderId="18" xfId="0" applyNumberFormat="1" applyFont="1" applyFill="1" applyBorder="1" applyAlignment="1">
      <alignment vertical="center"/>
    </xf>
    <xf numFmtId="167" fontId="9" fillId="3" borderId="24" xfId="0" applyNumberFormat="1" applyFont="1" applyFill="1" applyBorder="1" applyAlignment="1">
      <alignment horizontal="right" vertical="center"/>
    </xf>
    <xf numFmtId="169" fontId="13" fillId="3" borderId="24" xfId="0" applyNumberFormat="1" applyFont="1" applyFill="1" applyBorder="1" applyAlignment="1">
      <alignment horizontal="right" vertical="center"/>
    </xf>
    <xf numFmtId="169" fontId="7" fillId="3" borderId="17" xfId="0" applyNumberFormat="1" applyFont="1" applyFill="1" applyBorder="1" applyAlignment="1">
      <alignment vertical="center"/>
    </xf>
    <xf numFmtId="0" fontId="17" fillId="3" borderId="2" xfId="5" applyFont="1" applyFill="1" applyBorder="1" applyAlignment="1">
      <alignment vertical="center"/>
    </xf>
    <xf numFmtId="175" fontId="7" fillId="3" borderId="5" xfId="0" applyNumberFormat="1" applyFont="1" applyFill="1" applyBorder="1" applyAlignment="1">
      <alignment vertical="center"/>
    </xf>
    <xf numFmtId="44" fontId="7" fillId="3" borderId="6" xfId="2" applyFont="1" applyFill="1" applyBorder="1" applyAlignment="1">
      <alignment vertical="center"/>
    </xf>
    <xf numFmtId="175" fontId="7" fillId="3" borderId="24" xfId="0" applyNumberFormat="1" applyFont="1" applyFill="1" applyBorder="1" applyAlignment="1">
      <alignment vertical="center"/>
    </xf>
    <xf numFmtId="168" fontId="7" fillId="3" borderId="17" xfId="0" applyNumberFormat="1" applyFont="1" applyFill="1" applyBorder="1" applyAlignment="1">
      <alignment horizontal="right" vertical="center"/>
    </xf>
    <xf numFmtId="168" fontId="7" fillId="3" borderId="22" xfId="0" applyNumberFormat="1" applyFont="1" applyFill="1" applyBorder="1" applyAlignment="1">
      <alignment vertical="center"/>
    </xf>
    <xf numFmtId="0" fontId="0" fillId="0" borderId="22" xfId="0" applyBorder="1"/>
    <xf numFmtId="44" fontId="7" fillId="3" borderId="7" xfId="2" applyFont="1" applyFill="1" applyBorder="1" applyAlignment="1">
      <alignment vertical="center"/>
    </xf>
    <xf numFmtId="174" fontId="8" fillId="3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174" fontId="7" fillId="0" borderId="0" xfId="0" applyNumberFormat="1" applyFont="1" applyAlignment="1">
      <alignment vertical="center"/>
    </xf>
    <xf numFmtId="44" fontId="3" fillId="0" borderId="0" xfId="2" applyFont="1" applyFill="1"/>
    <xf numFmtId="165" fontId="3" fillId="6" borderId="0" xfId="1" applyFont="1" applyFill="1" applyBorder="1"/>
    <xf numFmtId="0" fontId="8" fillId="7" borderId="0" xfId="0" applyFont="1" applyFill="1" applyAlignment="1">
      <alignment vertical="center"/>
    </xf>
    <xf numFmtId="176" fontId="8" fillId="7" borderId="0" xfId="0" applyNumberFormat="1" applyFont="1" applyFill="1" applyAlignment="1">
      <alignment vertical="center"/>
    </xf>
    <xf numFmtId="0" fontId="19" fillId="8" borderId="19" xfId="0" applyFont="1" applyFill="1" applyBorder="1" applyAlignment="1">
      <alignment vertical="center"/>
    </xf>
    <xf numFmtId="0" fontId="19" fillId="8" borderId="20" xfId="0" applyFont="1" applyFill="1" applyBorder="1" applyAlignment="1">
      <alignment vertical="center"/>
    </xf>
    <xf numFmtId="0" fontId="19" fillId="8" borderId="21" xfId="0" applyFont="1" applyFill="1" applyBorder="1" applyAlignment="1">
      <alignment vertical="center"/>
    </xf>
    <xf numFmtId="0" fontId="19" fillId="8" borderId="2" xfId="0" applyFont="1" applyFill="1" applyBorder="1" applyAlignment="1">
      <alignment horizontal="center" vertical="center"/>
    </xf>
    <xf numFmtId="0" fontId="19" fillId="8" borderId="2" xfId="0" applyFont="1" applyFill="1" applyBorder="1" applyAlignment="1">
      <alignment horizontal="center" vertical="center" wrapText="1"/>
    </xf>
    <xf numFmtId="0" fontId="20" fillId="0" borderId="25" xfId="0" applyFont="1" applyBorder="1" applyAlignment="1">
      <alignment vertical="center" wrapText="1"/>
    </xf>
    <xf numFmtId="0" fontId="21" fillId="0" borderId="25" xfId="0" applyFont="1" applyBorder="1" applyAlignment="1">
      <alignment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left" vertical="center" wrapText="1"/>
    </xf>
    <xf numFmtId="177" fontId="20" fillId="0" borderId="25" xfId="3" applyNumberFormat="1" applyFont="1" applyFill="1" applyBorder="1" applyAlignment="1" applyProtection="1">
      <alignment horizontal="center" vertical="center" wrapText="1"/>
    </xf>
    <xf numFmtId="170" fontId="0" fillId="0" borderId="0" xfId="2" applyNumberFormat="1" applyFont="1"/>
    <xf numFmtId="165" fontId="0" fillId="0" borderId="0" xfId="0" applyNumberFormat="1"/>
    <xf numFmtId="0" fontId="0" fillId="0" borderId="26" xfId="0" applyBorder="1"/>
    <xf numFmtId="0" fontId="0" fillId="0" borderId="27" xfId="0" applyBorder="1"/>
    <xf numFmtId="0" fontId="3" fillId="0" borderId="26" xfId="0" applyFont="1" applyBorder="1"/>
    <xf numFmtId="172" fontId="3" fillId="0" borderId="0" xfId="2" applyNumberFormat="1" applyFont="1" applyBorder="1"/>
    <xf numFmtId="0" fontId="4" fillId="0" borderId="26" xfId="0" applyFont="1" applyBorder="1"/>
    <xf numFmtId="44" fontId="3" fillId="0" borderId="0" xfId="2" applyFont="1" applyBorder="1"/>
    <xf numFmtId="0" fontId="3" fillId="0" borderId="28" xfId="0" applyFont="1" applyBorder="1"/>
    <xf numFmtId="44" fontId="3" fillId="0" borderId="29" xfId="0" applyNumberFormat="1" applyFont="1" applyBorder="1"/>
    <xf numFmtId="173" fontId="3" fillId="0" borderId="29" xfId="4" applyNumberFormat="1" applyFont="1" applyBorder="1"/>
    <xf numFmtId="0" fontId="3" fillId="0" borderId="29" xfId="0" applyFont="1" applyBorder="1"/>
    <xf numFmtId="0" fontId="0" fillId="0" borderId="30" xfId="0" applyBorder="1"/>
    <xf numFmtId="0" fontId="4" fillId="2" borderId="31" xfId="0" applyFont="1" applyFill="1" applyBorder="1"/>
    <xf numFmtId="0" fontId="0" fillId="2" borderId="32" xfId="0" applyFill="1" applyBorder="1"/>
    <xf numFmtId="0" fontId="0" fillId="2" borderId="33" xfId="0" applyFill="1" applyBorder="1"/>
    <xf numFmtId="14" fontId="3" fillId="0" borderId="0" xfId="0" applyNumberFormat="1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2" fillId="0" borderId="0" xfId="0" applyFont="1"/>
    <xf numFmtId="169" fontId="3" fillId="0" borderId="0" xfId="0" applyNumberFormat="1" applyFont="1" applyAlignment="1">
      <alignment vertical="center"/>
    </xf>
    <xf numFmtId="44" fontId="22" fillId="0" borderId="0" xfId="2" applyFont="1"/>
    <xf numFmtId="0" fontId="19" fillId="8" borderId="0" xfId="0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44" fontId="20" fillId="0" borderId="25" xfId="2" applyFont="1" applyFill="1" applyBorder="1" applyAlignment="1" applyProtection="1">
      <alignment horizontal="center" vertical="center" wrapText="1"/>
    </xf>
    <xf numFmtId="0" fontId="23" fillId="0" borderId="0" xfId="0" applyFont="1" applyAlignment="1">
      <alignment wrapText="1"/>
    </xf>
    <xf numFmtId="0" fontId="24" fillId="0" borderId="0" xfId="0" applyFont="1"/>
    <xf numFmtId="0" fontId="24" fillId="0" borderId="22" xfId="0" applyFont="1" applyBorder="1" applyAlignment="1">
      <alignment horizontal="center"/>
    </xf>
    <xf numFmtId="164" fontId="19" fillId="9" borderId="2" xfId="3" applyFont="1" applyFill="1" applyBorder="1" applyAlignment="1">
      <alignment horizontal="center" vertical="center" wrapText="1"/>
    </xf>
    <xf numFmtId="164" fontId="19" fillId="10" borderId="2" xfId="3" applyFont="1" applyFill="1" applyBorder="1" applyAlignment="1">
      <alignment horizontal="center" vertical="center" wrapText="1"/>
    </xf>
    <xf numFmtId="165" fontId="21" fillId="9" borderId="25" xfId="1" applyFont="1" applyFill="1" applyBorder="1"/>
    <xf numFmtId="165" fontId="21" fillId="10" borderId="25" xfId="1" applyFont="1" applyFill="1" applyBorder="1"/>
    <xf numFmtId="0" fontId="20" fillId="11" borderId="25" xfId="0" applyFont="1" applyFill="1" applyBorder="1" applyAlignment="1">
      <alignment horizontal="left" vertical="center" wrapText="1"/>
    </xf>
    <xf numFmtId="0" fontId="20" fillId="12" borderId="25" xfId="0" applyFont="1" applyFill="1" applyBorder="1" applyAlignment="1">
      <alignment horizontal="left" vertical="center" wrapText="1"/>
    </xf>
    <xf numFmtId="165" fontId="25" fillId="0" borderId="0" xfId="0" applyNumberFormat="1" applyFont="1"/>
    <xf numFmtId="0" fontId="3" fillId="0" borderId="37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34" xfId="0" applyFont="1" applyBorder="1" applyAlignment="1">
      <alignment horizontal="center" vertical="center"/>
    </xf>
    <xf numFmtId="0" fontId="27" fillId="0" borderId="38" xfId="0" applyFont="1" applyBorder="1" applyAlignment="1">
      <alignment vertical="center"/>
    </xf>
    <xf numFmtId="0" fontId="27" fillId="0" borderId="38" xfId="0" applyFont="1" applyBorder="1" applyAlignment="1">
      <alignment vertical="center" wrapText="1"/>
    </xf>
    <xf numFmtId="165" fontId="27" fillId="0" borderId="38" xfId="1" applyFont="1" applyBorder="1" applyAlignment="1">
      <alignment vertical="center"/>
    </xf>
    <xf numFmtId="0" fontId="27" fillId="0" borderId="39" xfId="0" applyFont="1" applyBorder="1" applyAlignment="1">
      <alignment vertical="center"/>
    </xf>
    <xf numFmtId="0" fontId="27" fillId="0" borderId="39" xfId="0" applyFont="1" applyBorder="1" applyAlignment="1">
      <alignment vertical="center" wrapText="1"/>
    </xf>
    <xf numFmtId="0" fontId="3" fillId="0" borderId="37" xfId="0" quotePrefix="1" applyFont="1" applyBorder="1" applyAlignment="1">
      <alignment vertical="center"/>
    </xf>
    <xf numFmtId="0" fontId="27" fillId="0" borderId="40" xfId="0" applyFont="1" applyBorder="1" applyAlignment="1">
      <alignment vertical="center"/>
    </xf>
    <xf numFmtId="0" fontId="27" fillId="0" borderId="40" xfId="0" applyFont="1" applyBorder="1" applyAlignment="1">
      <alignment vertical="center" wrapText="1"/>
    </xf>
    <xf numFmtId="165" fontId="0" fillId="0" borderId="0" xfId="1" applyFont="1"/>
    <xf numFmtId="0" fontId="21" fillId="13" borderId="2" xfId="0" applyFont="1" applyFill="1" applyBorder="1" applyAlignment="1">
      <alignment horizontal="center" vertical="center" wrapText="1"/>
    </xf>
    <xf numFmtId="0" fontId="21" fillId="13" borderId="19" xfId="0" applyFont="1" applyFill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/>
    </xf>
    <xf numFmtId="0" fontId="28" fillId="0" borderId="41" xfId="0" applyFont="1" applyBorder="1" applyAlignment="1">
      <alignment vertical="center"/>
    </xf>
    <xf numFmtId="14" fontId="28" fillId="0" borderId="41" xfId="0" applyNumberFormat="1" applyFont="1" applyBorder="1" applyAlignment="1">
      <alignment vertical="center"/>
    </xf>
    <xf numFmtId="165" fontId="28" fillId="0" borderId="41" xfId="1" applyFont="1" applyBorder="1" applyAlignment="1">
      <alignment vertical="center"/>
    </xf>
    <xf numFmtId="0" fontId="28" fillId="0" borderId="41" xfId="0" applyFont="1" applyBorder="1" applyAlignment="1">
      <alignment horizontal="center" vertical="center"/>
    </xf>
    <xf numFmtId="171" fontId="29" fillId="14" borderId="41" xfId="0" applyNumberFormat="1" applyFont="1" applyFill="1" applyBorder="1" applyAlignment="1">
      <alignment vertical="center"/>
    </xf>
    <xf numFmtId="43" fontId="28" fillId="0" borderId="41" xfId="1" applyNumberFormat="1" applyFont="1" applyBorder="1" applyAlignment="1">
      <alignment vertical="center"/>
    </xf>
    <xf numFmtId="171" fontId="28" fillId="0" borderId="41" xfId="0" applyNumberFormat="1" applyFont="1" applyBorder="1" applyAlignment="1">
      <alignment vertical="center"/>
    </xf>
    <xf numFmtId="171" fontId="29" fillId="0" borderId="41" xfId="0" applyNumberFormat="1" applyFont="1" applyBorder="1" applyAlignment="1">
      <alignment vertical="center"/>
    </xf>
    <xf numFmtId="171" fontId="29" fillId="0" borderId="42" xfId="0" applyNumberFormat="1" applyFont="1" applyBorder="1" applyAlignment="1">
      <alignment vertical="center"/>
    </xf>
    <xf numFmtId="0" fontId="3" fillId="0" borderId="39" xfId="0" applyFont="1" applyBorder="1" applyAlignment="1">
      <alignment horizontal="center" vertical="center"/>
    </xf>
    <xf numFmtId="0" fontId="28" fillId="0" borderId="39" xfId="0" applyFont="1" applyBorder="1" applyAlignment="1">
      <alignment vertical="center"/>
    </xf>
    <xf numFmtId="14" fontId="28" fillId="0" borderId="39" xfId="0" applyNumberFormat="1" applyFont="1" applyBorder="1" applyAlignment="1">
      <alignment vertical="center"/>
    </xf>
    <xf numFmtId="165" fontId="28" fillId="0" borderId="39" xfId="1" applyFont="1" applyBorder="1" applyAlignment="1">
      <alignment vertical="center"/>
    </xf>
    <xf numFmtId="0" fontId="28" fillId="0" borderId="39" xfId="0" applyFont="1" applyBorder="1" applyAlignment="1">
      <alignment horizontal="center" vertical="center"/>
    </xf>
    <xf numFmtId="171" fontId="29" fillId="14" borderId="39" xfId="0" applyNumberFormat="1" applyFont="1" applyFill="1" applyBorder="1" applyAlignment="1">
      <alignment vertical="center"/>
    </xf>
    <xf numFmtId="43" fontId="28" fillId="0" borderId="39" xfId="1" applyNumberFormat="1" applyFont="1" applyBorder="1" applyAlignment="1">
      <alignment vertical="center"/>
    </xf>
    <xf numFmtId="171" fontId="28" fillId="0" borderId="39" xfId="0" applyNumberFormat="1" applyFont="1" applyBorder="1" applyAlignment="1">
      <alignment vertical="center"/>
    </xf>
    <xf numFmtId="171" fontId="29" fillId="0" borderId="39" xfId="0" applyNumberFormat="1" applyFont="1" applyBorder="1" applyAlignment="1">
      <alignment vertical="center"/>
    </xf>
    <xf numFmtId="171" fontId="29" fillId="0" borderId="43" xfId="0" applyNumberFormat="1" applyFont="1" applyBorder="1" applyAlignment="1">
      <alignment vertical="center"/>
    </xf>
    <xf numFmtId="0" fontId="3" fillId="0" borderId="40" xfId="0" applyFont="1" applyBorder="1" applyAlignment="1">
      <alignment horizontal="center" vertical="center"/>
    </xf>
    <xf numFmtId="0" fontId="28" fillId="0" borderId="40" xfId="0" applyFont="1" applyBorder="1" applyAlignment="1">
      <alignment vertical="center"/>
    </xf>
    <xf numFmtId="0" fontId="28" fillId="0" borderId="40" xfId="0" applyFont="1" applyBorder="1" applyAlignment="1">
      <alignment horizontal="center" vertical="center"/>
    </xf>
    <xf numFmtId="3" fontId="29" fillId="14" borderId="40" xfId="0" applyNumberFormat="1" applyFont="1" applyFill="1" applyBorder="1" applyAlignment="1">
      <alignment vertical="center"/>
    </xf>
    <xf numFmtId="43" fontId="28" fillId="0" borderId="40" xfId="1" applyNumberFormat="1" applyFont="1" applyBorder="1" applyAlignment="1">
      <alignment vertical="center"/>
    </xf>
    <xf numFmtId="3" fontId="28" fillId="0" borderId="40" xfId="0" applyNumberFormat="1" applyFont="1" applyBorder="1" applyAlignment="1">
      <alignment vertical="center"/>
    </xf>
    <xf numFmtId="0" fontId="29" fillId="14" borderId="40" xfId="0" applyFont="1" applyFill="1" applyBorder="1" applyAlignment="1">
      <alignment vertical="center"/>
    </xf>
    <xf numFmtId="0" fontId="29" fillId="0" borderId="40" xfId="0" applyFont="1" applyBorder="1" applyAlignment="1">
      <alignment vertical="center"/>
    </xf>
    <xf numFmtId="0" fontId="29" fillId="0" borderId="44" xfId="0" applyFont="1" applyBorder="1" applyAlignment="1">
      <alignment vertical="center"/>
    </xf>
    <xf numFmtId="0" fontId="4" fillId="15" borderId="0" xfId="0" applyFont="1" applyFill="1"/>
    <xf numFmtId="165" fontId="4" fillId="15" borderId="0" xfId="1" applyFont="1" applyFill="1"/>
    <xf numFmtId="171" fontId="4" fillId="15" borderId="0" xfId="0" applyNumberFormat="1" applyFont="1" applyFill="1"/>
    <xf numFmtId="9" fontId="0" fillId="0" borderId="0" xfId="4" applyFont="1"/>
    <xf numFmtId="49" fontId="7" fillId="6" borderId="17" xfId="0" applyNumberFormat="1" applyFont="1" applyFill="1" applyBorder="1" applyAlignment="1">
      <alignment horizontal="center" vertical="center" wrapText="1"/>
    </xf>
    <xf numFmtId="0" fontId="31" fillId="3" borderId="0" xfId="0" applyFont="1" applyFill="1" applyAlignment="1">
      <alignment horizontal="center" vertical="center"/>
    </xf>
    <xf numFmtId="0" fontId="11" fillId="0" borderId="21" xfId="0" applyFont="1" applyBorder="1" applyAlignment="1">
      <alignment horizontal="center" vertical="center" wrapText="1"/>
    </xf>
    <xf numFmtId="168" fontId="7" fillId="3" borderId="16" xfId="0" applyNumberFormat="1" applyFont="1" applyFill="1" applyBorder="1" applyAlignment="1">
      <alignment vertical="center"/>
    </xf>
    <xf numFmtId="175" fontId="32" fillId="3" borderId="0" xfId="6" applyNumberFormat="1" applyFont="1" applyFill="1" applyAlignment="1">
      <alignment horizontal="right" vertical="center"/>
    </xf>
    <xf numFmtId="175" fontId="32" fillId="3" borderId="18" xfId="6" applyNumberFormat="1" applyFont="1" applyFill="1" applyBorder="1" applyAlignment="1">
      <alignment horizontal="right" vertical="center"/>
    </xf>
    <xf numFmtId="169" fontId="33" fillId="3" borderId="16" xfId="6" applyNumberFormat="1" applyFont="1" applyFill="1" applyBorder="1" applyAlignment="1">
      <alignment horizontal="right" vertical="center"/>
    </xf>
    <xf numFmtId="169" fontId="33" fillId="3" borderId="4" xfId="6" applyNumberFormat="1" applyFont="1" applyFill="1" applyBorder="1" applyAlignment="1">
      <alignment horizontal="right" vertical="center"/>
    </xf>
    <xf numFmtId="175" fontId="33" fillId="3" borderId="0" xfId="6" applyNumberFormat="1" applyFont="1" applyFill="1" applyAlignment="1">
      <alignment horizontal="right" vertical="center"/>
    </xf>
    <xf numFmtId="169" fontId="33" fillId="3" borderId="23" xfId="6" applyNumberFormat="1" applyFont="1" applyFill="1" applyBorder="1" applyAlignment="1">
      <alignment horizontal="right" vertical="center"/>
    </xf>
    <xf numFmtId="169" fontId="33" fillId="3" borderId="3" xfId="6" applyNumberFormat="1" applyFont="1" applyFill="1" applyBorder="1" applyAlignment="1">
      <alignment horizontal="right" vertical="center"/>
    </xf>
    <xf numFmtId="169" fontId="33" fillId="3" borderId="5" xfId="6" applyNumberFormat="1" applyFont="1" applyFill="1" applyBorder="1" applyAlignment="1">
      <alignment horizontal="right" vertical="center"/>
    </xf>
    <xf numFmtId="169" fontId="33" fillId="3" borderId="24" xfId="6" applyNumberFormat="1" applyFont="1" applyFill="1" applyBorder="1" applyAlignment="1">
      <alignment horizontal="right" vertical="center"/>
    </xf>
    <xf numFmtId="0" fontId="34" fillId="3" borderId="18" xfId="6" applyFont="1" applyFill="1" applyBorder="1" applyAlignment="1">
      <alignment vertical="center"/>
    </xf>
    <xf numFmtId="175" fontId="33" fillId="3" borderId="18" xfId="6" applyNumberFormat="1" applyFont="1" applyFill="1" applyBorder="1" applyAlignment="1">
      <alignment horizontal="right" vertical="center"/>
    </xf>
    <xf numFmtId="175" fontId="33" fillId="3" borderId="17" xfId="6" applyNumberFormat="1" applyFont="1" applyFill="1" applyBorder="1" applyAlignment="1">
      <alignment horizontal="right" vertical="center"/>
    </xf>
    <xf numFmtId="0" fontId="34" fillId="3" borderId="16" xfId="6" applyFont="1" applyFill="1" applyBorder="1" applyAlignment="1">
      <alignment vertical="center"/>
    </xf>
    <xf numFmtId="175" fontId="32" fillId="3" borderId="0" xfId="0" applyNumberFormat="1" applyFont="1" applyFill="1" applyAlignment="1">
      <alignment horizontal="right" vertical="center"/>
    </xf>
    <xf numFmtId="175" fontId="32" fillId="3" borderId="18" xfId="0" applyNumberFormat="1" applyFont="1" applyFill="1" applyBorder="1" applyAlignment="1">
      <alignment horizontal="right" vertical="center"/>
    </xf>
    <xf numFmtId="169" fontId="33" fillId="3" borderId="16" xfId="0" applyNumberFormat="1" applyFont="1" applyFill="1" applyBorder="1" applyAlignment="1">
      <alignment horizontal="right" vertical="center"/>
    </xf>
    <xf numFmtId="169" fontId="33" fillId="3" borderId="4" xfId="0" applyNumberFormat="1" applyFont="1" applyFill="1" applyBorder="1" applyAlignment="1">
      <alignment horizontal="right" vertical="center"/>
    </xf>
    <xf numFmtId="175" fontId="33" fillId="3" borderId="0" xfId="0" applyNumberFormat="1" applyFont="1" applyFill="1" applyAlignment="1">
      <alignment horizontal="right" vertical="center"/>
    </xf>
    <xf numFmtId="169" fontId="33" fillId="3" borderId="23" xfId="0" applyNumberFormat="1" applyFont="1" applyFill="1" applyBorder="1" applyAlignment="1">
      <alignment horizontal="right" vertical="center"/>
    </xf>
    <xf numFmtId="169" fontId="33" fillId="3" borderId="3" xfId="0" applyNumberFormat="1" applyFont="1" applyFill="1" applyBorder="1" applyAlignment="1">
      <alignment horizontal="right" vertical="center"/>
    </xf>
    <xf numFmtId="169" fontId="33" fillId="3" borderId="5" xfId="0" applyNumberFormat="1" applyFont="1" applyFill="1" applyBorder="1" applyAlignment="1">
      <alignment horizontal="right" vertical="center"/>
    </xf>
    <xf numFmtId="169" fontId="33" fillId="3" borderId="24" xfId="0" applyNumberFormat="1" applyFont="1" applyFill="1" applyBorder="1" applyAlignment="1">
      <alignment horizontal="right" vertical="center"/>
    </xf>
    <xf numFmtId="0" fontId="34" fillId="3" borderId="18" xfId="0" applyFont="1" applyFill="1" applyBorder="1" applyAlignment="1">
      <alignment vertical="center"/>
    </xf>
    <xf numFmtId="175" fontId="33" fillId="3" borderId="18" xfId="0" applyNumberFormat="1" applyFont="1" applyFill="1" applyBorder="1" applyAlignment="1">
      <alignment horizontal="right" vertical="center"/>
    </xf>
    <xf numFmtId="175" fontId="33" fillId="3" borderId="17" xfId="0" applyNumberFormat="1" applyFont="1" applyFill="1" applyBorder="1" applyAlignment="1">
      <alignment horizontal="right" vertical="center"/>
    </xf>
    <xf numFmtId="0" fontId="34" fillId="3" borderId="16" xfId="0" applyFont="1" applyFill="1" applyBorder="1" applyAlignment="1">
      <alignment vertical="center"/>
    </xf>
    <xf numFmtId="14" fontId="3" fillId="16" borderId="0" xfId="0" applyNumberFormat="1" applyFont="1" applyFill="1"/>
    <xf numFmtId="170" fontId="3" fillId="16" borderId="0" xfId="0" applyNumberFormat="1" applyFont="1" applyFill="1"/>
    <xf numFmtId="0" fontId="3" fillId="16" borderId="0" xfId="0" applyFont="1" applyFill="1"/>
    <xf numFmtId="44" fontId="3" fillId="16" borderId="0" xfId="2" applyFont="1" applyFill="1"/>
    <xf numFmtId="170" fontId="0" fillId="0" borderId="0" xfId="0" applyNumberFormat="1"/>
    <xf numFmtId="14" fontId="0" fillId="0" borderId="0" xfId="0" applyNumberFormat="1"/>
    <xf numFmtId="0" fontId="35" fillId="0" borderId="0" xfId="0" applyFont="1" applyAlignment="1">
      <alignment vertical="center"/>
    </xf>
    <xf numFmtId="170" fontId="2" fillId="0" borderId="0" xfId="0" applyNumberFormat="1" applyFont="1"/>
    <xf numFmtId="165" fontId="22" fillId="0" borderId="0" xfId="1" applyFont="1"/>
    <xf numFmtId="0" fontId="3" fillId="17" borderId="26" xfId="0" applyFont="1" applyFill="1" applyBorder="1"/>
    <xf numFmtId="172" fontId="3" fillId="17" borderId="0" xfId="2" applyNumberFormat="1" applyFont="1" applyFill="1" applyBorder="1"/>
    <xf numFmtId="178" fontId="3" fillId="17" borderId="0" xfId="0" applyNumberFormat="1" applyFont="1" applyFill="1"/>
    <xf numFmtId="0" fontId="4" fillId="17" borderId="0" xfId="0" applyFont="1" applyFill="1"/>
    <xf numFmtId="168" fontId="13" fillId="3" borderId="18" xfId="0" applyNumberFormat="1" applyFont="1" applyFill="1" applyBorder="1" applyAlignment="1">
      <alignment horizontal="right" vertical="center"/>
    </xf>
    <xf numFmtId="0" fontId="7" fillId="4" borderId="16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10" fillId="5" borderId="19" xfId="0" applyFont="1" applyFill="1" applyBorder="1" applyAlignment="1" applyProtection="1">
      <alignment horizontal="center" vertical="center"/>
      <protection locked="0"/>
    </xf>
    <xf numFmtId="0" fontId="10" fillId="5" borderId="20" xfId="0" applyFont="1" applyFill="1" applyBorder="1" applyAlignment="1" applyProtection="1">
      <alignment horizontal="center" vertical="center"/>
      <protection locked="0"/>
    </xf>
    <xf numFmtId="0" fontId="10" fillId="5" borderId="4" xfId="0" applyFont="1" applyFill="1" applyBorder="1" applyAlignment="1" applyProtection="1">
      <alignment horizontal="center" vertical="center"/>
      <protection locked="0"/>
    </xf>
    <xf numFmtId="168" fontId="13" fillId="6" borderId="18" xfId="0" applyNumberFormat="1" applyFont="1" applyFill="1" applyBorder="1" applyAlignment="1">
      <alignment horizontal="right" vertical="center"/>
    </xf>
    <xf numFmtId="168" fontId="7" fillId="6" borderId="18" xfId="0" applyNumberFormat="1" applyFont="1" applyFill="1" applyBorder="1" applyAlignment="1">
      <alignment horizontal="right" vertical="center"/>
    </xf>
    <xf numFmtId="169" fontId="13" fillId="3" borderId="18" xfId="0" applyNumberFormat="1" applyFont="1" applyFill="1" applyBorder="1" applyAlignment="1">
      <alignment horizontal="right" vertical="center"/>
    </xf>
    <xf numFmtId="169" fontId="13" fillId="3" borderId="17" xfId="0" applyNumberFormat="1" applyFont="1" applyFill="1" applyBorder="1" applyAlignment="1">
      <alignment horizontal="right" vertical="center"/>
    </xf>
    <xf numFmtId="168" fontId="13" fillId="3" borderId="18" xfId="0" quotePrefix="1" applyNumberFormat="1" applyFont="1" applyFill="1" applyBorder="1" applyAlignment="1">
      <alignment horizontal="right" vertical="center"/>
    </xf>
    <xf numFmtId="168" fontId="13" fillId="3" borderId="17" xfId="0" applyNumberFormat="1" applyFont="1" applyFill="1" applyBorder="1" applyAlignment="1">
      <alignment horizontal="right" vertical="center"/>
    </xf>
    <xf numFmtId="169" fontId="7" fillId="3" borderId="18" xfId="0" applyNumberFormat="1" applyFont="1" applyFill="1" applyBorder="1" applyAlignment="1">
      <alignment horizontal="right" vertical="center"/>
    </xf>
    <xf numFmtId="169" fontId="7" fillId="3" borderId="17" xfId="0" applyNumberFormat="1" applyFont="1" applyFill="1" applyBorder="1" applyAlignment="1">
      <alignment horizontal="right" vertical="center"/>
    </xf>
    <xf numFmtId="41" fontId="18" fillId="6" borderId="19" xfId="3" quotePrefix="1" applyNumberFormat="1" applyFont="1" applyFill="1" applyBorder="1" applyAlignment="1">
      <alignment horizontal="left" vertical="center" wrapText="1"/>
    </xf>
    <xf numFmtId="41" fontId="18" fillId="6" borderId="20" xfId="3" quotePrefix="1" applyNumberFormat="1" applyFont="1" applyFill="1" applyBorder="1" applyAlignment="1">
      <alignment horizontal="left" vertical="center" wrapText="1"/>
    </xf>
    <xf numFmtId="41" fontId="18" fillId="6" borderId="21" xfId="3" quotePrefix="1" applyNumberFormat="1" applyFont="1" applyFill="1" applyBorder="1" applyAlignment="1">
      <alignment horizontal="left" vertical="center" wrapText="1"/>
    </xf>
    <xf numFmtId="168" fontId="13" fillId="3" borderId="6" xfId="0" quotePrefix="1" applyNumberFormat="1" applyFont="1" applyFill="1" applyBorder="1" applyAlignment="1">
      <alignment horizontal="right" vertical="center"/>
    </xf>
    <xf numFmtId="168" fontId="13" fillId="3" borderId="6" xfId="0" applyNumberFormat="1" applyFont="1" applyFill="1" applyBorder="1" applyAlignment="1">
      <alignment horizontal="right" vertical="center"/>
    </xf>
    <xf numFmtId="168" fontId="13" fillId="3" borderId="7" xfId="0" applyNumberFormat="1" applyFont="1" applyFill="1" applyBorder="1" applyAlignment="1">
      <alignment horizontal="right" vertical="center"/>
    </xf>
    <xf numFmtId="168" fontId="13" fillId="3" borderId="17" xfId="0" quotePrefix="1" applyNumberFormat="1" applyFont="1" applyFill="1" applyBorder="1" applyAlignment="1">
      <alignment horizontal="right" vertical="center"/>
    </xf>
    <xf numFmtId="169" fontId="33" fillId="3" borderId="18" xfId="6" applyNumberFormat="1" applyFont="1" applyFill="1" applyBorder="1" applyAlignment="1">
      <alignment horizontal="right" vertical="center"/>
    </xf>
    <xf numFmtId="169" fontId="33" fillId="3" borderId="17" xfId="6" applyNumberFormat="1" applyFont="1" applyFill="1" applyBorder="1" applyAlignment="1">
      <alignment horizontal="right" vertical="center"/>
    </xf>
    <xf numFmtId="0" fontId="8" fillId="3" borderId="16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175" fontId="7" fillId="3" borderId="6" xfId="0" applyNumberFormat="1" applyFont="1" applyFill="1" applyBorder="1" applyAlignment="1">
      <alignment horizontal="right" vertical="center"/>
    </xf>
    <xf numFmtId="175" fontId="7" fillId="3" borderId="7" xfId="0" applyNumberFormat="1" applyFont="1" applyFill="1" applyBorder="1" applyAlignment="1">
      <alignment horizontal="right" vertical="center"/>
    </xf>
    <xf numFmtId="168" fontId="33" fillId="3" borderId="18" xfId="6" applyNumberFormat="1" applyFont="1" applyFill="1" applyBorder="1" applyAlignment="1">
      <alignment horizontal="right" vertical="center"/>
    </xf>
    <xf numFmtId="168" fontId="33" fillId="3" borderId="17" xfId="6" applyNumberFormat="1" applyFont="1" applyFill="1" applyBorder="1" applyAlignment="1">
      <alignment horizontal="right" vertical="center"/>
    </xf>
    <xf numFmtId="168" fontId="13" fillId="3" borderId="0" xfId="0" applyNumberFormat="1" applyFont="1" applyFill="1" applyAlignment="1">
      <alignment horizontal="right" vertical="center"/>
    </xf>
    <xf numFmtId="168" fontId="13" fillId="3" borderId="22" xfId="0" applyNumberFormat="1" applyFont="1" applyFill="1" applyBorder="1" applyAlignment="1">
      <alignment horizontal="right" vertical="center"/>
    </xf>
    <xf numFmtId="168" fontId="7" fillId="3" borderId="18" xfId="0" applyNumberFormat="1" applyFont="1" applyFill="1" applyBorder="1" applyAlignment="1">
      <alignment horizontal="right" vertical="center"/>
    </xf>
    <xf numFmtId="168" fontId="7" fillId="3" borderId="17" xfId="0" applyNumberFormat="1" applyFont="1" applyFill="1" applyBorder="1" applyAlignment="1">
      <alignment horizontal="right" vertical="center"/>
    </xf>
    <xf numFmtId="168" fontId="33" fillId="3" borderId="18" xfId="6" quotePrefix="1" applyNumberFormat="1" applyFont="1" applyFill="1" applyBorder="1" applyAlignment="1">
      <alignment horizontal="right" vertical="center"/>
    </xf>
    <xf numFmtId="168" fontId="33" fillId="3" borderId="17" xfId="6" quotePrefix="1" applyNumberFormat="1" applyFont="1" applyFill="1" applyBorder="1" applyAlignment="1">
      <alignment horizontal="right" vertical="center"/>
    </xf>
    <xf numFmtId="168" fontId="33" fillId="3" borderId="5" xfId="6" applyNumberFormat="1" applyFont="1" applyFill="1" applyBorder="1" applyAlignment="1">
      <alignment horizontal="right" vertical="center"/>
    </xf>
    <xf numFmtId="168" fontId="33" fillId="3" borderId="24" xfId="6" applyNumberFormat="1" applyFont="1" applyFill="1" applyBorder="1" applyAlignment="1">
      <alignment horizontal="right" vertical="center"/>
    </xf>
    <xf numFmtId="168" fontId="33" fillId="3" borderId="18" xfId="0" applyNumberFormat="1" applyFont="1" applyFill="1" applyBorder="1" applyAlignment="1">
      <alignment horizontal="right" vertical="center"/>
    </xf>
    <xf numFmtId="168" fontId="33" fillId="3" borderId="17" xfId="0" applyNumberFormat="1" applyFont="1" applyFill="1" applyBorder="1" applyAlignment="1">
      <alignment horizontal="right" vertical="center"/>
    </xf>
    <xf numFmtId="168" fontId="33" fillId="3" borderId="18" xfId="0" quotePrefix="1" applyNumberFormat="1" applyFont="1" applyFill="1" applyBorder="1" applyAlignment="1">
      <alignment horizontal="right" vertical="center"/>
    </xf>
    <xf numFmtId="168" fontId="33" fillId="3" borderId="17" xfId="0" quotePrefix="1" applyNumberFormat="1" applyFont="1" applyFill="1" applyBorder="1" applyAlignment="1">
      <alignment horizontal="right" vertical="center"/>
    </xf>
    <xf numFmtId="168" fontId="33" fillId="3" borderId="5" xfId="0" applyNumberFormat="1" applyFont="1" applyFill="1" applyBorder="1" applyAlignment="1">
      <alignment horizontal="right" vertical="center"/>
    </xf>
    <xf numFmtId="168" fontId="33" fillId="3" borderId="24" xfId="0" applyNumberFormat="1" applyFont="1" applyFill="1" applyBorder="1" applyAlignment="1">
      <alignment horizontal="right" vertical="center"/>
    </xf>
    <xf numFmtId="169" fontId="33" fillId="3" borderId="18" xfId="0" applyNumberFormat="1" applyFont="1" applyFill="1" applyBorder="1" applyAlignment="1">
      <alignment horizontal="right" vertical="center"/>
    </xf>
    <xf numFmtId="169" fontId="33" fillId="3" borderId="17" xfId="0" applyNumberFormat="1" applyFont="1" applyFill="1" applyBorder="1" applyAlignment="1">
      <alignment horizontal="right" vertical="center"/>
    </xf>
    <xf numFmtId="175" fontId="7" fillId="3" borderId="18" xfId="0" applyNumberFormat="1" applyFont="1" applyFill="1" applyBorder="1" applyAlignment="1">
      <alignment horizontal="right" vertical="center"/>
    </xf>
    <xf numFmtId="175" fontId="7" fillId="3" borderId="17" xfId="0" applyNumberFormat="1" applyFont="1" applyFill="1" applyBorder="1" applyAlignment="1">
      <alignment horizontal="right" vertical="center"/>
    </xf>
    <xf numFmtId="175" fontId="34" fillId="3" borderId="6" xfId="6" applyNumberFormat="1" applyFont="1" applyFill="1" applyBorder="1" applyAlignment="1">
      <alignment horizontal="right" vertical="center"/>
    </xf>
    <xf numFmtId="175" fontId="34" fillId="3" borderId="7" xfId="6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6" fillId="7" borderId="34" xfId="0" applyFont="1" applyFill="1" applyBorder="1" applyAlignment="1">
      <alignment horizontal="center" vertical="center" wrapText="1"/>
    </xf>
    <xf numFmtId="0" fontId="26" fillId="7" borderId="36" xfId="0" applyFont="1" applyFill="1" applyBorder="1" applyAlignment="1">
      <alignment horizontal="center" vertical="center" wrapText="1"/>
    </xf>
    <xf numFmtId="0" fontId="26" fillId="7" borderId="35" xfId="0" applyFont="1" applyFill="1" applyBorder="1" applyAlignment="1">
      <alignment horizontal="center" vertical="center" wrapText="1"/>
    </xf>
  </cellXfs>
  <cellStyles count="8">
    <cellStyle name="=C:\WINNT35\SYSTEM32\COMMAND.COM" xfId="5" xr:uid="{00000000-0005-0000-0000-000000000000}"/>
    <cellStyle name="Migliaia" xfId="1" builtinId="3"/>
    <cellStyle name="Migliaia [0]" xfId="3" builtinId="6"/>
    <cellStyle name="Migliaia [0] 2" xfId="7" xr:uid="{C39C36D2-CBC2-4A1F-AE6E-47BA25A20196}"/>
    <cellStyle name="Normale" xfId="0" builtinId="0"/>
    <cellStyle name="Normale 2" xfId="6" xr:uid="{6C720CD4-829F-4891-AC65-805F3650C751}"/>
    <cellStyle name="Percentuale" xfId="4" builtinId="5"/>
    <cellStyle name="Valuta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lvatore.marchese\Desktop\Desk_30-11-2021\Fattura%20Gas%20Novembre%20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AREA%20PRIVATA\Salvatore%20M\DESK\jessica\Consumi%20Gas%20Como%202018-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glio1"/>
      <sheetName val="Foglio2"/>
    </sheetNames>
    <sheetDataSet>
      <sheetData sheetId="0" refreshError="1">
        <row r="1">
          <cell r="A1" t="str">
            <v>Commessa Nuova</v>
          </cell>
          <cell r="G1" t="str">
            <v>PDR</v>
          </cell>
        </row>
        <row r="2">
          <cell r="A2" t="str">
            <v>2021.G.0929.001</v>
          </cell>
          <cell r="G2" t="str">
            <v>00880000967165</v>
          </cell>
        </row>
        <row r="3">
          <cell r="A3" t="str">
            <v>2021.G.1202.001</v>
          </cell>
          <cell r="G3" t="str">
            <v>12340000203284</v>
          </cell>
        </row>
        <row r="4">
          <cell r="A4" t="str">
            <v>2021.G.0897.001</v>
          </cell>
          <cell r="G4" t="str">
            <v>05260200402617</v>
          </cell>
        </row>
        <row r="5">
          <cell r="A5" t="str">
            <v>2013.G.0102.001</v>
          </cell>
          <cell r="G5" t="str">
            <v>10930000035602</v>
          </cell>
        </row>
        <row r="6">
          <cell r="A6" t="str">
            <v>2013.G.0226.001</v>
          </cell>
          <cell r="G6" t="str">
            <v>10930000035608</v>
          </cell>
        </row>
        <row r="7">
          <cell r="A7" t="str">
            <v>2013.G.0228.001</v>
          </cell>
          <cell r="G7" t="str">
            <v>10930000035596</v>
          </cell>
        </row>
        <row r="8">
          <cell r="A8" t="str">
            <v>2013.G.0229.001</v>
          </cell>
          <cell r="G8" t="str">
            <v>10930000035611</v>
          </cell>
        </row>
        <row r="9">
          <cell r="A9" t="str">
            <v>2013.G.0230.001</v>
          </cell>
          <cell r="G9" t="str">
            <v>10930000035612</v>
          </cell>
        </row>
        <row r="10">
          <cell r="A10" t="str">
            <v>2013.G.0231.001</v>
          </cell>
          <cell r="G10" t="str">
            <v>10930000070863</v>
          </cell>
        </row>
        <row r="11">
          <cell r="A11" t="str">
            <v>2014.G.0005.001</v>
          </cell>
          <cell r="G11" t="str">
            <v>10930000035606</v>
          </cell>
        </row>
        <row r="12">
          <cell r="A12" t="str">
            <v>2014.G.0003.001</v>
          </cell>
          <cell r="G12" t="str">
            <v>10930000035597</v>
          </cell>
        </row>
        <row r="13">
          <cell r="A13" t="str">
            <v>2014.G.1004.001</v>
          </cell>
          <cell r="G13" t="str">
            <v>10930000035589</v>
          </cell>
        </row>
        <row r="14">
          <cell r="A14" t="str">
            <v>2013.G.0232.001</v>
          </cell>
          <cell r="G14" t="str">
            <v>10930000035600</v>
          </cell>
        </row>
        <row r="15">
          <cell r="A15" t="str">
            <v>2013.G.0225.001</v>
          </cell>
          <cell r="G15" t="str">
            <v>10930000035598</v>
          </cell>
        </row>
        <row r="16">
          <cell r="A16" t="str">
            <v>2013.G.0233.001</v>
          </cell>
          <cell r="G16" t="str">
            <v>10930000035613</v>
          </cell>
        </row>
        <row r="17">
          <cell r="A17" t="str">
            <v>2013.G.0234.001</v>
          </cell>
          <cell r="G17" t="str">
            <v>10930000035591</v>
          </cell>
        </row>
        <row r="18">
          <cell r="A18" t="str">
            <v>2013.G.0235.001</v>
          </cell>
          <cell r="G18" t="str">
            <v>10930000035590</v>
          </cell>
        </row>
        <row r="19">
          <cell r="A19" t="str">
            <v>2013.G.0224.001</v>
          </cell>
          <cell r="G19" t="str">
            <v>01150000129585</v>
          </cell>
        </row>
        <row r="20">
          <cell r="A20" t="str">
            <v>2013.G.0238.001</v>
          </cell>
          <cell r="G20" t="str">
            <v>01150000128254</v>
          </cell>
        </row>
        <row r="21">
          <cell r="A21" t="str">
            <v>2014.G.0006.001</v>
          </cell>
          <cell r="G21" t="str">
            <v>01150000129422</v>
          </cell>
        </row>
        <row r="22">
          <cell r="A22" t="str">
            <v>2014.G.0008.001</v>
          </cell>
          <cell r="G22" t="str">
            <v>01150000128637</v>
          </cell>
        </row>
        <row r="23">
          <cell r="A23" t="str">
            <v>2014.G.0007.001</v>
          </cell>
          <cell r="G23" t="str">
            <v>01150000128636</v>
          </cell>
        </row>
        <row r="24">
          <cell r="A24" t="str">
            <v>2013.G.0237.001</v>
          </cell>
          <cell r="G24" t="str">
            <v>10930000035604</v>
          </cell>
        </row>
        <row r="25">
          <cell r="A25" t="str">
            <v>2014.G.0026.001</v>
          </cell>
          <cell r="G25" t="str">
            <v>01150000134007</v>
          </cell>
        </row>
        <row r="26">
          <cell r="A26" t="str">
            <v>2014.G.0020.001</v>
          </cell>
          <cell r="G26" t="str">
            <v>01150000122609</v>
          </cell>
        </row>
        <row r="27">
          <cell r="A27" t="str">
            <v>2014.G.0029.001</v>
          </cell>
          <cell r="G27" t="str">
            <v>01150000133269</v>
          </cell>
        </row>
        <row r="28">
          <cell r="A28" t="str">
            <v>2013.G.0021.001</v>
          </cell>
          <cell r="G28" t="str">
            <v>01150000219434</v>
          </cell>
        </row>
        <row r="29">
          <cell r="A29" t="str">
            <v>2014.G.0030.001</v>
          </cell>
          <cell r="G29" t="str">
            <v>01150000133832</v>
          </cell>
        </row>
        <row r="30">
          <cell r="A30" t="str">
            <v>2014.G.0017.001</v>
          </cell>
          <cell r="G30" t="str">
            <v>01150000135268</v>
          </cell>
        </row>
        <row r="31">
          <cell r="A31" t="str">
            <v>2014.G.0055.001</v>
          </cell>
          <cell r="G31" t="str">
            <v>01150000122965</v>
          </cell>
        </row>
        <row r="32">
          <cell r="A32" t="str">
            <v>2014.G.0106.033</v>
          </cell>
          <cell r="G32" t="str">
            <v>01150000134723</v>
          </cell>
        </row>
        <row r="33">
          <cell r="A33" t="str">
            <v>2014.G.0016.001</v>
          </cell>
          <cell r="G33" t="str">
            <v>01150000122897</v>
          </cell>
        </row>
        <row r="34">
          <cell r="A34" t="str">
            <v>2014.G.0015.001</v>
          </cell>
          <cell r="G34" t="str">
            <v>01150000226555</v>
          </cell>
        </row>
        <row r="35">
          <cell r="A35" t="str">
            <v>2014.G.0014.001</v>
          </cell>
          <cell r="G35" t="str">
            <v>01150000302575</v>
          </cell>
        </row>
        <row r="36">
          <cell r="A36" t="str">
            <v>2014.G.0024.001</v>
          </cell>
          <cell r="G36" t="str">
            <v>10930000074696</v>
          </cell>
        </row>
        <row r="37">
          <cell r="A37" t="str">
            <v>2014.G.0025.001</v>
          </cell>
          <cell r="G37" t="str">
            <v>1150000134788</v>
          </cell>
        </row>
        <row r="38">
          <cell r="A38" t="str">
            <v>2021.G.0675.001</v>
          </cell>
          <cell r="G38" t="str">
            <v>05260102820152</v>
          </cell>
        </row>
        <row r="39">
          <cell r="A39" t="str">
            <v>2013.G.0216.001</v>
          </cell>
          <cell r="G39" t="str">
            <v>02800000056007</v>
          </cell>
        </row>
        <row r="40">
          <cell r="A40" t="str">
            <v>2014.G.0120.001</v>
          </cell>
          <cell r="G40"/>
        </row>
        <row r="41">
          <cell r="A41" t="str">
            <v>2021.G.0932.001</v>
          </cell>
          <cell r="G41" t="str">
            <v>05260000001256</v>
          </cell>
        </row>
        <row r="42">
          <cell r="A42" t="str">
            <v>2021.G.1015.001</v>
          </cell>
          <cell r="G42" t="str">
            <v>02800000055995</v>
          </cell>
        </row>
        <row r="43">
          <cell r="A43" t="str">
            <v>2019.G.0217.001</v>
          </cell>
          <cell r="G43" t="str">
            <v>03410000073336</v>
          </cell>
        </row>
        <row r="44">
          <cell r="A44" t="str">
            <v>2021.G.0913.001</v>
          </cell>
          <cell r="G44" t="str">
            <v>03323012004212</v>
          </cell>
        </row>
        <row r="45">
          <cell r="A45" t="str">
            <v>2015.G.0054.001</v>
          </cell>
          <cell r="G45" t="str">
            <v>00881900287739</v>
          </cell>
        </row>
        <row r="46">
          <cell r="A46" t="str">
            <v>2015.G.0072.101</v>
          </cell>
          <cell r="G46" t="str">
            <v>03160000213943</v>
          </cell>
        </row>
        <row r="47">
          <cell r="A47" t="str">
            <v>2015.G.0072.035</v>
          </cell>
          <cell r="G47" t="str">
            <v>03160000220396</v>
          </cell>
        </row>
        <row r="48">
          <cell r="A48" t="str">
            <v>2015.G.0072.054</v>
          </cell>
          <cell r="G48" t="str">
            <v>03160000223029</v>
          </cell>
        </row>
        <row r="49">
          <cell r="A49" t="str">
            <v>2015.G.0072.055</v>
          </cell>
          <cell r="G49" t="str">
            <v>03160000223030</v>
          </cell>
        </row>
        <row r="50">
          <cell r="A50" t="str">
            <v>2015.G.0072.064</v>
          </cell>
          <cell r="G50" t="str">
            <v>03160000223117</v>
          </cell>
        </row>
        <row r="51">
          <cell r="A51" t="str">
            <v>2015.G.0072.019</v>
          </cell>
          <cell r="G51"/>
        </row>
        <row r="52">
          <cell r="A52" t="str">
            <v>2015.G.0072.020</v>
          </cell>
          <cell r="G52" t="str">
            <v>03160000223352</v>
          </cell>
        </row>
        <row r="53">
          <cell r="A53" t="str">
            <v>2015.G.0072.024</v>
          </cell>
          <cell r="G53" t="str">
            <v>03160000223665</v>
          </cell>
        </row>
        <row r="54">
          <cell r="A54" t="str">
            <v>2015.G.0072.100</v>
          </cell>
          <cell r="G54" t="str">
            <v>03160000227314</v>
          </cell>
        </row>
        <row r="55">
          <cell r="A55" t="str">
            <v>2015.G.0072.050</v>
          </cell>
          <cell r="G55" t="str">
            <v>03160000228773</v>
          </cell>
        </row>
        <row r="56">
          <cell r="A56" t="str">
            <v>2015.G.0072.004</v>
          </cell>
          <cell r="G56" t="str">
            <v>03160000228944</v>
          </cell>
        </row>
        <row r="57">
          <cell r="A57" t="str">
            <v>2015.G.0072.056</v>
          </cell>
          <cell r="G57" t="str">
            <v>03160000214424</v>
          </cell>
        </row>
        <row r="58">
          <cell r="A58" t="str">
            <v>2015.G.0072.001</v>
          </cell>
          <cell r="G58" t="str">
            <v>03160000229187</v>
          </cell>
        </row>
        <row r="59">
          <cell r="A59" t="str">
            <v>2015.G.0072.026</v>
          </cell>
          <cell r="G59" t="str">
            <v>03160000229445</v>
          </cell>
        </row>
        <row r="60">
          <cell r="A60" t="str">
            <v>2015.G.0072.062</v>
          </cell>
          <cell r="G60" t="str">
            <v>03160000232773</v>
          </cell>
        </row>
        <row r="61">
          <cell r="A61" t="str">
            <v>2015.G.0072.021</v>
          </cell>
          <cell r="G61" t="str">
            <v>03160000233090</v>
          </cell>
        </row>
        <row r="62">
          <cell r="A62" t="str">
            <v>2015.G.0072.070</v>
          </cell>
          <cell r="G62" t="str">
            <v>03160000233179</v>
          </cell>
        </row>
        <row r="63">
          <cell r="A63" t="str">
            <v>2015.G.0072.025</v>
          </cell>
          <cell r="G63" t="str">
            <v>03160000233842</v>
          </cell>
        </row>
        <row r="64">
          <cell r="A64" t="str">
            <v>2015.G.0072.068</v>
          </cell>
          <cell r="G64" t="str">
            <v>03160000233934</v>
          </cell>
        </row>
        <row r="65">
          <cell r="A65" t="str">
            <v>2015.G.0072.007</v>
          </cell>
          <cell r="G65" t="str">
            <v>03160000233941</v>
          </cell>
        </row>
        <row r="66">
          <cell r="A66" t="str">
            <v>2015.G.0072.065</v>
          </cell>
          <cell r="G66" t="str">
            <v>03160000234600</v>
          </cell>
        </row>
        <row r="67">
          <cell r="A67" t="str">
            <v>2015.G.0072.069</v>
          </cell>
          <cell r="G67" t="str">
            <v>03160000234603</v>
          </cell>
        </row>
        <row r="68">
          <cell r="A68" t="str">
            <v>2015.G.0072.033</v>
          </cell>
          <cell r="G68"/>
        </row>
        <row r="69">
          <cell r="A69" t="str">
            <v>2015.G.0072.032</v>
          </cell>
          <cell r="G69" t="str">
            <v>03160000235415</v>
          </cell>
        </row>
        <row r="70">
          <cell r="A70" t="str">
            <v>2015.G.0072.066</v>
          </cell>
          <cell r="G70" t="str">
            <v>03160000235821</v>
          </cell>
        </row>
        <row r="71">
          <cell r="A71" t="str">
            <v>2015.G.0072.067</v>
          </cell>
          <cell r="G71" t="str">
            <v>03160000236054</v>
          </cell>
        </row>
        <row r="72">
          <cell r="A72" t="str">
            <v>2015.G.0072.003</v>
          </cell>
          <cell r="G72" t="str">
            <v>03160000237062</v>
          </cell>
        </row>
        <row r="73">
          <cell r="A73" t="str">
            <v>2015.G.0072.029</v>
          </cell>
          <cell r="G73" t="str">
            <v>03160000237064</v>
          </cell>
        </row>
        <row r="74">
          <cell r="A74" t="str">
            <v>2015.G.0072.009</v>
          </cell>
          <cell r="G74" t="str">
            <v>03160000238968</v>
          </cell>
        </row>
        <row r="75">
          <cell r="A75" t="str">
            <v>2015.G.0072.076</v>
          </cell>
          <cell r="G75" t="str">
            <v>03160000239418</v>
          </cell>
        </row>
        <row r="76">
          <cell r="A76" t="str">
            <v>2015.G.0072.008</v>
          </cell>
          <cell r="G76" t="str">
            <v>03160000241132</v>
          </cell>
        </row>
        <row r="77">
          <cell r="A77" t="str">
            <v>2015.G.0072.073</v>
          </cell>
          <cell r="G77" t="str">
            <v>03160000241203</v>
          </cell>
        </row>
        <row r="78">
          <cell r="A78" t="str">
            <v>2015.G.0072.022</v>
          </cell>
          <cell r="G78" t="str">
            <v>03160000217499</v>
          </cell>
        </row>
        <row r="79">
          <cell r="A79" t="str">
            <v>2015.G.0072.083</v>
          </cell>
          <cell r="G79" t="str">
            <v>61497224000209</v>
          </cell>
        </row>
        <row r="80">
          <cell r="A80" t="str">
            <v>2015.G.0072.078</v>
          </cell>
          <cell r="G80" t="str">
            <v>61497224000573</v>
          </cell>
        </row>
        <row r="81">
          <cell r="A81" t="str">
            <v>2015.G.0072.080</v>
          </cell>
          <cell r="G81" t="str">
            <v>61497224000214</v>
          </cell>
        </row>
        <row r="82">
          <cell r="A82" t="str">
            <v>2015.G.0072.074</v>
          </cell>
          <cell r="G82" t="str">
            <v>03160000241323</v>
          </cell>
        </row>
        <row r="83">
          <cell r="A83" t="str">
            <v>2015.G.0072.071</v>
          </cell>
          <cell r="G83" t="str">
            <v>03160000242026</v>
          </cell>
        </row>
        <row r="84">
          <cell r="A84" t="str">
            <v>2015.G.0072.027</v>
          </cell>
          <cell r="G84" t="str">
            <v>03160000245499</v>
          </cell>
        </row>
        <row r="85">
          <cell r="A85" t="str">
            <v>2015.G.0072.097</v>
          </cell>
          <cell r="G85" t="str">
            <v>03160000247203</v>
          </cell>
        </row>
        <row r="86">
          <cell r="A86" t="str">
            <v>2015.G.0072.017</v>
          </cell>
          <cell r="G86" t="str">
            <v>03160000247432</v>
          </cell>
        </row>
        <row r="87">
          <cell r="A87" t="str">
            <v>2015.G.0072.002</v>
          </cell>
          <cell r="G87" t="str">
            <v>03160000249556</v>
          </cell>
        </row>
        <row r="88">
          <cell r="A88" t="str">
            <v>2015.G.0072.104</v>
          </cell>
          <cell r="G88" t="str">
            <v>03160000250316</v>
          </cell>
        </row>
        <row r="89">
          <cell r="A89" t="str">
            <v>2015.G.0072.061</v>
          </cell>
          <cell r="G89" t="str">
            <v>03160000250895</v>
          </cell>
        </row>
        <row r="90">
          <cell r="A90" t="str">
            <v>2015.G.0072.005</v>
          </cell>
          <cell r="G90" t="str">
            <v>03160000251183</v>
          </cell>
        </row>
        <row r="91">
          <cell r="A91" t="str">
            <v>2015.G.0072.046</v>
          </cell>
          <cell r="G91" t="str">
            <v>03160000253211</v>
          </cell>
        </row>
        <row r="92">
          <cell r="A92" t="str">
            <v>2015.G.0072.048</v>
          </cell>
          <cell r="G92" t="str">
            <v>03160000217569</v>
          </cell>
        </row>
        <row r="93">
          <cell r="A93" t="str">
            <v>2015.G.0072.016</v>
          </cell>
          <cell r="G93" t="str">
            <v>03160000253480</v>
          </cell>
        </row>
        <row r="94">
          <cell r="A94" t="str">
            <v>2015.G.0072.040</v>
          </cell>
          <cell r="G94" t="str">
            <v>03160000255828</v>
          </cell>
        </row>
        <row r="95">
          <cell r="A95" t="str">
            <v>2015.G.0072.096</v>
          </cell>
          <cell r="G95" t="str">
            <v>03160000258304</v>
          </cell>
        </row>
        <row r="96">
          <cell r="A96" t="str">
            <v>2015.G.0072.010</v>
          </cell>
          <cell r="G96" t="str">
            <v>03160000259872</v>
          </cell>
        </row>
        <row r="97">
          <cell r="A97" t="str">
            <v>2015.G.0072.023</v>
          </cell>
          <cell r="G97" t="str">
            <v>03160000260168</v>
          </cell>
        </row>
        <row r="98">
          <cell r="A98" t="str">
            <v>2015.G.0072.037</v>
          </cell>
          <cell r="G98" t="str">
            <v>03160000260679</v>
          </cell>
        </row>
        <row r="99">
          <cell r="A99" t="str">
            <v>2015.G.0072.013</v>
          </cell>
          <cell r="G99" t="str">
            <v>03160000261474</v>
          </cell>
        </row>
        <row r="100">
          <cell r="A100" t="str">
            <v>2015.G.0072.028</v>
          </cell>
          <cell r="G100" t="str">
            <v>03160000261797</v>
          </cell>
        </row>
        <row r="101">
          <cell r="A101" t="str">
            <v>2015.G.0072.051</v>
          </cell>
          <cell r="G101" t="str">
            <v>03160000262944</v>
          </cell>
        </row>
        <row r="102">
          <cell r="A102" t="str">
            <v>2015.G.0072.059</v>
          </cell>
          <cell r="G102" t="str">
            <v>03160000218316</v>
          </cell>
        </row>
        <row r="103">
          <cell r="A103" t="str">
            <v>2015.G.0072.075</v>
          </cell>
          <cell r="G103" t="str">
            <v>03160000332048</v>
          </cell>
        </row>
        <row r="104">
          <cell r="A104" t="str">
            <v>2015.G.0072.060</v>
          </cell>
          <cell r="G104" t="str">
            <v>03160000218324</v>
          </cell>
        </row>
        <row r="105">
          <cell r="A105" t="str">
            <v>2015.G.0072.031</v>
          </cell>
          <cell r="G105" t="str">
            <v>03160000218857</v>
          </cell>
        </row>
        <row r="106">
          <cell r="A106" t="str">
            <v>2015.G.0072.057</v>
          </cell>
          <cell r="G106" t="str">
            <v>03160000219205</v>
          </cell>
        </row>
        <row r="107">
          <cell r="A107" t="str">
            <v>2015.G.0072.204</v>
          </cell>
          <cell r="G107" t="str">
            <v>03160000216323</v>
          </cell>
        </row>
        <row r="108">
          <cell r="A108" t="str">
            <v>2015.G.0072.205</v>
          </cell>
          <cell r="G108" t="str">
            <v>03160000269023</v>
          </cell>
        </row>
        <row r="109">
          <cell r="A109" t="str">
            <v>2021.G.1076.001</v>
          </cell>
          <cell r="G109" t="str">
            <v>05260102869051</v>
          </cell>
        </row>
        <row r="110">
          <cell r="A110" t="str">
            <v>2020.G.0650.001</v>
          </cell>
          <cell r="G110" t="str">
            <v>10930000005529</v>
          </cell>
        </row>
        <row r="111">
          <cell r="A111" t="str">
            <v>2020.G.0650.002</v>
          </cell>
          <cell r="G111" t="str">
            <v>10930000055149</v>
          </cell>
        </row>
        <row r="112">
          <cell r="A112" t="str">
            <v>2015.G.0111.001</v>
          </cell>
          <cell r="G112" t="str">
            <v>00880001376221</v>
          </cell>
        </row>
        <row r="113">
          <cell r="A113" t="str">
            <v>2021.G.0890.001</v>
          </cell>
          <cell r="G113" t="str">
            <v>03630000058827</v>
          </cell>
        </row>
        <row r="114">
          <cell r="A114" t="str">
            <v>2016.G.0100.001</v>
          </cell>
          <cell r="G114" t="str">
            <v>04120100023737</v>
          </cell>
        </row>
        <row r="115">
          <cell r="A115" t="str">
            <v>2016.G.0121.001</v>
          </cell>
          <cell r="G115" t="str">
            <v>02800000056772</v>
          </cell>
        </row>
        <row r="116">
          <cell r="A116" t="str">
            <v>2016.G.0404.001</v>
          </cell>
          <cell r="G116" t="str">
            <v>05260200005179</v>
          </cell>
        </row>
        <row r="117">
          <cell r="A117" t="str">
            <v>2020.G.0734.001</v>
          </cell>
          <cell r="G117" t="str">
            <v>05260000002487</v>
          </cell>
        </row>
        <row r="118">
          <cell r="A118" t="str">
            <v>2019.G.0284.001</v>
          </cell>
          <cell r="G118" t="str">
            <v>01611432004373</v>
          </cell>
        </row>
        <row r="119">
          <cell r="A119" t="str">
            <v>2017.G.0078.001</v>
          </cell>
          <cell r="G119" t="str">
            <v>05260102927123</v>
          </cell>
        </row>
        <row r="120">
          <cell r="A120" t="str">
            <v>2021.G.0859.001</v>
          </cell>
          <cell r="G120" t="str">
            <v>05260000100302</v>
          </cell>
        </row>
        <row r="121">
          <cell r="A121" t="str">
            <v>2017.G.0122.001</v>
          </cell>
          <cell r="G121" t="str">
            <v>05260102912971</v>
          </cell>
        </row>
        <row r="122">
          <cell r="A122" t="str">
            <v>2021.G.0858.001</v>
          </cell>
          <cell r="G122" t="str">
            <v>05260200441282</v>
          </cell>
        </row>
        <row r="123">
          <cell r="A123" t="str">
            <v>2021.G.1016.001</v>
          </cell>
          <cell r="G123" t="str">
            <v>02800000056673</v>
          </cell>
        </row>
        <row r="124">
          <cell r="A124" t="str">
            <v>2017.G.0160.001</v>
          </cell>
          <cell r="G124" t="str">
            <v>05260102920526</v>
          </cell>
        </row>
        <row r="125">
          <cell r="A125" t="str">
            <v>2017.G.0175.001</v>
          </cell>
          <cell r="G125" t="str">
            <v>00880001517956</v>
          </cell>
        </row>
        <row r="126">
          <cell r="A126" t="str">
            <v>2017.G.0180.001</v>
          </cell>
          <cell r="G126" t="str">
            <v>05260102928714</v>
          </cell>
        </row>
        <row r="127">
          <cell r="A127" t="str">
            <v>2021.G.1064.001</v>
          </cell>
          <cell r="G127" t="str">
            <v>01030000801373</v>
          </cell>
        </row>
        <row r="128">
          <cell r="A128" t="str">
            <v>2017.G.0203.001</v>
          </cell>
          <cell r="G128" t="str">
            <v>00883200188765</v>
          </cell>
        </row>
        <row r="129">
          <cell r="A129" t="str">
            <v>2017.G.0205.001</v>
          </cell>
          <cell r="G129" t="str">
            <v>05260200103633</v>
          </cell>
        </row>
        <row r="130">
          <cell r="A130" t="str">
            <v>2017.G.0207.001</v>
          </cell>
          <cell r="G130" t="str">
            <v>00500000315250</v>
          </cell>
        </row>
        <row r="131">
          <cell r="A131" t="str">
            <v>2017.G.0208.001</v>
          </cell>
          <cell r="G131" t="str">
            <v>05260000067080</v>
          </cell>
        </row>
        <row r="132">
          <cell r="A132" t="str">
            <v>2021.G.0884.001</v>
          </cell>
          <cell r="G132" t="str">
            <v>05260000072316</v>
          </cell>
        </row>
        <row r="133">
          <cell r="A133" t="str">
            <v>2021.G.0799.001</v>
          </cell>
          <cell r="G133" t="str">
            <v>11889000003640</v>
          </cell>
        </row>
        <row r="134">
          <cell r="A134" t="str">
            <v>2017.G.0271.001</v>
          </cell>
          <cell r="G134" t="str">
            <v>03630000059275</v>
          </cell>
        </row>
        <row r="135">
          <cell r="A135" t="str">
            <v>2021.G.0777.001</v>
          </cell>
          <cell r="G135" t="str">
            <v>05260000061839</v>
          </cell>
        </row>
        <row r="136">
          <cell r="A136" t="str">
            <v>2021.G.0898.001</v>
          </cell>
          <cell r="G136" t="str">
            <v>05260201910243</v>
          </cell>
        </row>
        <row r="137">
          <cell r="A137" t="str">
            <v>2017.G.0289.001</v>
          </cell>
          <cell r="G137" t="str">
            <v>05260000065630</v>
          </cell>
        </row>
        <row r="138">
          <cell r="A138" t="str">
            <v>2021.G.0738.001</v>
          </cell>
          <cell r="G138" t="str">
            <v>05260000061840</v>
          </cell>
        </row>
        <row r="139">
          <cell r="A139" t="str">
            <v>2021.G.0740.001</v>
          </cell>
          <cell r="G139" t="str">
            <v>05260000064707</v>
          </cell>
        </row>
        <row r="140">
          <cell r="A140" t="str">
            <v>2021.G.0684.001</v>
          </cell>
          <cell r="G140" t="str">
            <v>05260201902858</v>
          </cell>
        </row>
        <row r="141">
          <cell r="A141" t="str">
            <v>2021.G.1060.001</v>
          </cell>
          <cell r="G141" t="str">
            <v>05260102830753</v>
          </cell>
        </row>
        <row r="142">
          <cell r="A142" t="str">
            <v>2021.G.0806.001</v>
          </cell>
          <cell r="G142" t="str">
            <v>11660000005052</v>
          </cell>
        </row>
        <row r="143">
          <cell r="A143" t="str">
            <v>2021.G.1066.001</v>
          </cell>
          <cell r="G143" t="str">
            <v>05260000091698</v>
          </cell>
        </row>
        <row r="144">
          <cell r="A144" t="str">
            <v>2021.G.0848.001</v>
          </cell>
          <cell r="G144" t="str">
            <v>05260000072394</v>
          </cell>
        </row>
        <row r="145">
          <cell r="A145" t="str">
            <v>2021.G.1061.001</v>
          </cell>
          <cell r="G145" t="str">
            <v>03160000223617</v>
          </cell>
        </row>
        <row r="146">
          <cell r="A146" t="str">
            <v>2017.G.0370.001</v>
          </cell>
          <cell r="G146" t="str">
            <v>05260102805780</v>
          </cell>
        </row>
        <row r="147">
          <cell r="A147" t="str">
            <v>2021.G.0804.001</v>
          </cell>
          <cell r="G147" t="str">
            <v>05260102834699</v>
          </cell>
        </row>
        <row r="148">
          <cell r="A148" t="str">
            <v>2021.G.0798.001</v>
          </cell>
          <cell r="G148" t="str">
            <v>05260000040851</v>
          </cell>
        </row>
        <row r="149">
          <cell r="A149" t="str">
            <v>2021.G.0787.001</v>
          </cell>
          <cell r="G149" t="str">
            <v>05260000072489</v>
          </cell>
        </row>
        <row r="150">
          <cell r="A150" t="str">
            <v>2021.G.0788.001</v>
          </cell>
          <cell r="G150" t="str">
            <v>05260102863532</v>
          </cell>
        </row>
        <row r="151">
          <cell r="A151" t="str">
            <v>2021.G.1035.001</v>
          </cell>
          <cell r="G151" t="str">
            <v>15330000094440</v>
          </cell>
        </row>
        <row r="152">
          <cell r="A152" t="str">
            <v>2021.G.0741.001</v>
          </cell>
          <cell r="G152" t="str">
            <v>05260000091701</v>
          </cell>
        </row>
        <row r="153">
          <cell r="A153" t="str">
            <v>2008.G.0025.001</v>
          </cell>
          <cell r="G153" t="str">
            <v>11887100012401</v>
          </cell>
        </row>
        <row r="154">
          <cell r="A154" t="str">
            <v>2008.G.0009.002</v>
          </cell>
          <cell r="G154" t="str">
            <v>15330000093848</v>
          </cell>
        </row>
        <row r="155">
          <cell r="A155" t="str">
            <v>2008.G.0009.003</v>
          </cell>
          <cell r="G155" t="str">
            <v>15330000090064</v>
          </cell>
        </row>
        <row r="156">
          <cell r="A156" t="str">
            <v>2008.G.0009.005</v>
          </cell>
          <cell r="G156" t="str">
            <v>15330000093809</v>
          </cell>
        </row>
        <row r="157">
          <cell r="A157" t="str">
            <v>2008.G.0009.006</v>
          </cell>
          <cell r="G157" t="str">
            <v>15330000093673</v>
          </cell>
        </row>
        <row r="158">
          <cell r="A158" t="str">
            <v>2008.G.0009.007</v>
          </cell>
          <cell r="G158" t="str">
            <v>11887100012403</v>
          </cell>
        </row>
        <row r="159">
          <cell r="A159" t="str">
            <v>2008.G.0009.007</v>
          </cell>
          <cell r="G159" t="str">
            <v>11887100012402</v>
          </cell>
        </row>
        <row r="160">
          <cell r="A160" t="str">
            <v>2008.G.0009.008</v>
          </cell>
          <cell r="G160" t="str">
            <v>15330000093694</v>
          </cell>
        </row>
        <row r="161">
          <cell r="A161" t="str">
            <v>2008.G.0009.009</v>
          </cell>
          <cell r="G161" t="str">
            <v>15330000093695</v>
          </cell>
        </row>
        <row r="162">
          <cell r="A162" t="str">
            <v>2008.G.0009.010</v>
          </cell>
          <cell r="G162" t="str">
            <v>15330000093138</v>
          </cell>
        </row>
        <row r="163">
          <cell r="A163" t="str">
            <v>2008.G.0009.011</v>
          </cell>
          <cell r="G163" t="str">
            <v>15330000092088</v>
          </cell>
        </row>
        <row r="164">
          <cell r="A164" t="str">
            <v>2008.G.0009.012</v>
          </cell>
          <cell r="G164" t="str">
            <v>15330000093488</v>
          </cell>
        </row>
        <row r="165">
          <cell r="A165" t="str">
            <v>2008.G.0009.014</v>
          </cell>
          <cell r="G165" t="str">
            <v>15330000091213</v>
          </cell>
        </row>
        <row r="166">
          <cell r="A166" t="str">
            <v>2008.G.0009.015</v>
          </cell>
          <cell r="G166" t="str">
            <v>15330000087108</v>
          </cell>
        </row>
        <row r="167">
          <cell r="A167" t="str">
            <v>S8009 017</v>
          </cell>
          <cell r="G167" t="str">
            <v>11889000000963</v>
          </cell>
        </row>
        <row r="168">
          <cell r="A168" t="str">
            <v>2008.G.0009.019</v>
          </cell>
          <cell r="G168" t="str">
            <v>15330000095360</v>
          </cell>
        </row>
        <row r="169">
          <cell r="A169" t="str">
            <v>2008.G.0009.020</v>
          </cell>
          <cell r="G169" t="str">
            <v>15330000093923</v>
          </cell>
        </row>
        <row r="170">
          <cell r="A170" t="str">
            <v>2018.G.0125.001</v>
          </cell>
          <cell r="G170" t="str">
            <v>01611275008043</v>
          </cell>
        </row>
        <row r="171">
          <cell r="A171" t="str">
            <v>2018.G.0140.001</v>
          </cell>
          <cell r="G171" t="str">
            <v>00880001559016</v>
          </cell>
        </row>
        <row r="172">
          <cell r="A172" t="str">
            <v>2018.G.0153.001</v>
          </cell>
          <cell r="G172" t="str">
            <v>00881900305689</v>
          </cell>
        </row>
        <row r="173">
          <cell r="A173" t="str">
            <v>2018.G.0155.001</v>
          </cell>
          <cell r="G173" t="str">
            <v>00881900733492</v>
          </cell>
        </row>
        <row r="174">
          <cell r="A174" t="str">
            <v>2021.G.0161.001</v>
          </cell>
          <cell r="G174" t="str">
            <v>03160000222123</v>
          </cell>
        </row>
        <row r="175">
          <cell r="A175" t="str">
            <v>2018.G.0165.001</v>
          </cell>
          <cell r="G175" t="str">
            <v>00880001567851</v>
          </cell>
        </row>
        <row r="176">
          <cell r="A176" t="str">
            <v>2018.G.0166.001</v>
          </cell>
          <cell r="G176" t="str">
            <v>00880001567839</v>
          </cell>
        </row>
        <row r="177">
          <cell r="A177" t="str">
            <v>2018.G.0167.001</v>
          </cell>
          <cell r="G177" t="str">
            <v>61498338000120</v>
          </cell>
        </row>
        <row r="178">
          <cell r="A178" t="str">
            <v>2018.G.0437.001</v>
          </cell>
          <cell r="G178" t="str">
            <v>05260000082511</v>
          </cell>
        </row>
        <row r="179">
          <cell r="A179" t="str">
            <v>2017.G.0486.001</v>
          </cell>
          <cell r="G179" t="str">
            <v>00883203811248</v>
          </cell>
        </row>
        <row r="180">
          <cell r="A180" t="str">
            <v>2018.G.0210.001</v>
          </cell>
          <cell r="G180" t="str">
            <v>00880001576893</v>
          </cell>
        </row>
        <row r="181">
          <cell r="A181" t="str">
            <v>2021.G.0720.001</v>
          </cell>
          <cell r="G181" t="str">
            <v>05260000099485</v>
          </cell>
        </row>
        <row r="182">
          <cell r="A182" t="str">
            <v>2021.G.0891.001</v>
          </cell>
          <cell r="G182" t="str">
            <v>01611276013085</v>
          </cell>
        </row>
        <row r="183">
          <cell r="A183" t="str">
            <v>2021.G.0668.001</v>
          </cell>
          <cell r="G183" t="str">
            <v>10770000394201</v>
          </cell>
        </row>
        <row r="184">
          <cell r="A184" t="str">
            <v>2021.G.0357.001</v>
          </cell>
          <cell r="G184" t="str">
            <v>05260102824305</v>
          </cell>
        </row>
        <row r="185">
          <cell r="A185" t="str">
            <v>2021.G.0358.001</v>
          </cell>
          <cell r="G185" t="str">
            <v>05260200315592</v>
          </cell>
        </row>
        <row r="186">
          <cell r="A186" t="str">
            <v>2021.G.0763.001</v>
          </cell>
          <cell r="G186"/>
        </row>
        <row r="187">
          <cell r="A187" t="str">
            <v>2021.G.1068.001</v>
          </cell>
          <cell r="G187"/>
        </row>
        <row r="188">
          <cell r="A188" t="str">
            <v>2021.G.1185.001</v>
          </cell>
          <cell r="G188"/>
        </row>
        <row r="189">
          <cell r="A189" t="str">
            <v>2020.G.0735.001</v>
          </cell>
          <cell r="G189" t="str">
            <v>03630000015133</v>
          </cell>
        </row>
        <row r="190">
          <cell r="A190" t="str">
            <v>2020.G.0813.001</v>
          </cell>
          <cell r="G190" t="str">
            <v>03630000052631</v>
          </cell>
        </row>
        <row r="191">
          <cell r="A191" t="str">
            <v>2021.G.0812.001</v>
          </cell>
          <cell r="G191" t="str">
            <v>05260102886060</v>
          </cell>
        </row>
        <row r="192">
          <cell r="A192" t="str">
            <v>2019.G.0143.001</v>
          </cell>
          <cell r="G192" t="str">
            <v>03630000021263</v>
          </cell>
        </row>
        <row r="193">
          <cell r="A193" t="str">
            <v>2019.G.0157.001</v>
          </cell>
          <cell r="G193" t="str">
            <v>05260200010204</v>
          </cell>
        </row>
        <row r="194">
          <cell r="A194" t="str">
            <v>2020.G.0811.001</v>
          </cell>
          <cell r="G194" t="str">
            <v>05260000003773</v>
          </cell>
        </row>
        <row r="195">
          <cell r="A195" t="str">
            <v>2019.G.0169.001</v>
          </cell>
          <cell r="G195" t="str">
            <v>05260200011027</v>
          </cell>
        </row>
        <row r="196">
          <cell r="A196" t="str">
            <v>2021.G.0952.001</v>
          </cell>
          <cell r="G196" t="str">
            <v>05260000041807</v>
          </cell>
        </row>
        <row r="197">
          <cell r="A197" t="str">
            <v>2019.G.0212.001</v>
          </cell>
          <cell r="G197" t="str">
            <v>05260200577457</v>
          </cell>
        </row>
        <row r="198">
          <cell r="A198" t="str">
            <v>2019.G.0359.001</v>
          </cell>
          <cell r="G198"/>
        </row>
        <row r="199">
          <cell r="A199" t="str">
            <v>2019.G.0068.001</v>
          </cell>
          <cell r="G199" t="str">
            <v>11070017110100</v>
          </cell>
        </row>
        <row r="200">
          <cell r="A200" t="str">
            <v>2019.G.0272.001</v>
          </cell>
          <cell r="G200" t="str">
            <v>01300000321363</v>
          </cell>
        </row>
        <row r="201">
          <cell r="A201" t="str">
            <v>2019.G.0216.001</v>
          </cell>
          <cell r="G201" t="str">
            <v>00600002003165</v>
          </cell>
        </row>
        <row r="202">
          <cell r="A202" t="str">
            <v>2019.G.0216.002</v>
          </cell>
          <cell r="G202"/>
        </row>
        <row r="203">
          <cell r="A203" t="str">
            <v>2019.G.0216.003</v>
          </cell>
          <cell r="G203"/>
        </row>
        <row r="204">
          <cell r="A204" t="str">
            <v>2019.G.0216.004</v>
          </cell>
          <cell r="G204" t="str">
            <v>00600002003168</v>
          </cell>
        </row>
        <row r="205">
          <cell r="A205" t="str">
            <v>2019.G.0216.005</v>
          </cell>
          <cell r="G205" t="str">
            <v>00600002003166</v>
          </cell>
        </row>
        <row r="206">
          <cell r="A206" t="str">
            <v>2019.G.0216.006</v>
          </cell>
          <cell r="G206"/>
        </row>
        <row r="207">
          <cell r="A207" t="str">
            <v>2019.G.0216.007</v>
          </cell>
          <cell r="G207" t="str">
            <v>00600002003167</v>
          </cell>
        </row>
        <row r="208">
          <cell r="A208" t="str">
            <v>2019.G.0216.008</v>
          </cell>
          <cell r="G208" t="str">
            <v>00600002003169</v>
          </cell>
        </row>
        <row r="209">
          <cell r="A209" t="str">
            <v>2019.G.0216.009</v>
          </cell>
          <cell r="G209" t="str">
            <v>00600002003171</v>
          </cell>
        </row>
        <row r="210">
          <cell r="A210" t="str">
            <v>2019.G.0216.010</v>
          </cell>
          <cell r="G210" t="str">
            <v>00600002003172</v>
          </cell>
        </row>
        <row r="211">
          <cell r="A211" t="str">
            <v>2019.G.0216.011</v>
          </cell>
          <cell r="G211" t="str">
            <v>00600002003173</v>
          </cell>
        </row>
        <row r="212">
          <cell r="A212" t="str">
            <v>2019.G.0216.012</v>
          </cell>
          <cell r="G212" t="str">
            <v>00600002003174</v>
          </cell>
        </row>
        <row r="213">
          <cell r="A213" t="str">
            <v>2019.G.0216.013</v>
          </cell>
          <cell r="G213" t="str">
            <v>00600002003176</v>
          </cell>
        </row>
        <row r="214">
          <cell r="A214" t="str">
            <v>2019.G.0216.014</v>
          </cell>
          <cell r="G214" t="str">
            <v>00600002005979</v>
          </cell>
        </row>
        <row r="215">
          <cell r="A215" t="str">
            <v>2019.G.0216.015</v>
          </cell>
          <cell r="G215" t="str">
            <v>00600002003177</v>
          </cell>
        </row>
        <row r="216">
          <cell r="A216" t="str">
            <v>2019.G.0216.016</v>
          </cell>
          <cell r="G216" t="str">
            <v>00600002003178</v>
          </cell>
        </row>
        <row r="217">
          <cell r="A217" t="str">
            <v>2019.G.0216.017</v>
          </cell>
          <cell r="G217" t="str">
            <v>00600002005107</v>
          </cell>
        </row>
        <row r="218">
          <cell r="A218" t="str">
            <v>2019.G.0216.018</v>
          </cell>
          <cell r="G218" t="str">
            <v>00600002003179</v>
          </cell>
        </row>
        <row r="219">
          <cell r="A219" t="str">
            <v>2018.G.0410.001</v>
          </cell>
          <cell r="G219" t="str">
            <v>15441000206258</v>
          </cell>
        </row>
        <row r="226">
          <cell r="G226" t="str">
            <v>PDR</v>
          </cell>
        </row>
        <row r="227">
          <cell r="G227" t="str">
            <v>00600002002757</v>
          </cell>
        </row>
        <row r="228">
          <cell r="G228" t="str">
            <v>00600083000981</v>
          </cell>
        </row>
        <row r="229">
          <cell r="G229" t="str">
            <v>03160000252173</v>
          </cell>
        </row>
        <row r="230">
          <cell r="G230" t="str">
            <v>11660000112972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lsa"/>
      <sheetName val="CPL Gas"/>
      <sheetName val="GG"/>
    </sheetNames>
    <sheetDataSet>
      <sheetData sheetId="0">
        <row r="1">
          <cell r="A1" t="str">
            <v>Commessa</v>
          </cell>
          <cell r="D1" t="str">
            <v>CLIENTE</v>
          </cell>
          <cell r="E1" t="str">
            <v>IMPIANTO</v>
          </cell>
          <cell r="F1" t="str">
            <v>Cod. MGI Luce &amp; Gas</v>
          </cell>
          <cell r="I1" t="str">
            <v>Combustibile</v>
          </cell>
          <cell r="J1" t="str">
            <v>Consumo Gas Ottobre</v>
          </cell>
          <cell r="K1" t="str">
            <v>Consumo Gas Novembre</v>
          </cell>
          <cell r="L1" t="str">
            <v>Consumo Gas Dicembre</v>
          </cell>
          <cell r="M1" t="str">
            <v>Consumo Gas Gennaio</v>
          </cell>
          <cell r="N1" t="str">
            <v>Consumo Gas Febbraio</v>
          </cell>
          <cell r="O1" t="str">
            <v>Consumo Gas Marzo</v>
          </cell>
          <cell r="P1" t="str">
            <v>Consumo Gas Aprile</v>
          </cell>
          <cell r="Q1" t="str">
            <v>Consumo Gas Maggio</v>
          </cell>
          <cell r="R1" t="str">
            <v>Consumo Gas Giugno</v>
          </cell>
          <cell r="S1" t="str">
            <v>Consumo Gas Luglio</v>
          </cell>
          <cell r="T1" t="str">
            <v>Consumo Gas Agosto</v>
          </cell>
          <cell r="U1" t="str">
            <v>Consumo Gas Settembre</v>
          </cell>
          <cell r="V1" t="str">
            <v>Consumo Gas Ottobre</v>
          </cell>
          <cell r="W1" t="str">
            <v>Consumo YTD Ottobre 2019</v>
          </cell>
          <cell r="X1" t="str">
            <v>Coefficiente di Conversione MW</v>
          </cell>
          <cell r="Y1" t="str">
            <v>Energia Erogata Presunta 2018/2019</v>
          </cell>
          <cell r="Z1" t="str">
            <v>Data</v>
          </cell>
          <cell r="AB1" t="str">
            <v>Lettura iniziale</v>
          </cell>
          <cell r="AC1" t="str">
            <v>Consumo</v>
          </cell>
          <cell r="AD1" t="str">
            <v>Lettura Finale</v>
          </cell>
          <cell r="AF1" t="str">
            <v>Lettura reale</v>
          </cell>
        </row>
        <row r="2">
          <cell r="A2" t="str">
            <v>2015.G.0072.001</v>
          </cell>
          <cell r="B2" t="str">
            <v>S5072 001</v>
          </cell>
          <cell r="C2" t="str">
            <v>G</v>
          </cell>
          <cell r="D2" t="str">
            <v>COMUNE DI COMO</v>
          </cell>
          <cell r="E2" t="str">
            <v>Asilo Nido - via di Lora 1</v>
          </cell>
          <cell r="F2" t="str">
            <v>2017/218</v>
          </cell>
          <cell r="G2" t="e">
            <v>#N/A</v>
          </cell>
          <cell r="H2">
            <v>113.47</v>
          </cell>
          <cell r="I2" t="str">
            <v>Metano</v>
          </cell>
          <cell r="J2">
            <v>568</v>
          </cell>
          <cell r="K2">
            <v>1173</v>
          </cell>
          <cell r="L2">
            <v>2027</v>
          </cell>
          <cell r="M2">
            <v>2254</v>
          </cell>
          <cell r="N2">
            <v>1900</v>
          </cell>
          <cell r="O2">
            <v>2039</v>
          </cell>
          <cell r="P2">
            <v>140</v>
          </cell>
          <cell r="Q2">
            <v>473</v>
          </cell>
          <cell r="R2">
            <v>198</v>
          </cell>
          <cell r="S2">
            <v>122</v>
          </cell>
          <cell r="T2">
            <v>21</v>
          </cell>
          <cell r="U2">
            <v>110</v>
          </cell>
          <cell r="V2">
            <v>643.73333333333335</v>
          </cell>
          <cell r="W2">
            <v>11668.733333333334</v>
          </cell>
          <cell r="X2">
            <v>102</v>
          </cell>
          <cell r="Y2">
            <v>114.39934640522875</v>
          </cell>
          <cell r="Z2">
            <v>43378</v>
          </cell>
          <cell r="AA2">
            <v>44382</v>
          </cell>
          <cell r="AB2">
            <v>113.71</v>
          </cell>
          <cell r="AC2">
            <v>114.39934640522875</v>
          </cell>
          <cell r="AD2">
            <v>228.10934640522873</v>
          </cell>
          <cell r="AE2">
            <v>55117</v>
          </cell>
          <cell r="AF2">
            <v>224.18</v>
          </cell>
        </row>
        <row r="3">
          <cell r="A3" t="str">
            <v>2015.G.0072.002</v>
          </cell>
          <cell r="B3" t="str">
            <v>S5072 002</v>
          </cell>
          <cell r="C3" t="str">
            <v>G</v>
          </cell>
          <cell r="D3" t="str">
            <v>COMUNE DI COMO</v>
          </cell>
          <cell r="E3" t="str">
            <v>Asilo Nido - via Palestro 17</v>
          </cell>
          <cell r="F3" t="str">
            <v>2017/245</v>
          </cell>
          <cell r="G3" t="e">
            <v>#N/A</v>
          </cell>
          <cell r="H3">
            <v>316.81</v>
          </cell>
          <cell r="I3" t="str">
            <v>Metano</v>
          </cell>
          <cell r="J3">
            <v>1345</v>
          </cell>
          <cell r="K3">
            <v>3780</v>
          </cell>
          <cell r="L3">
            <v>5931</v>
          </cell>
          <cell r="M3">
            <v>8144</v>
          </cell>
          <cell r="N3">
            <v>6523</v>
          </cell>
          <cell r="O3">
            <v>4326</v>
          </cell>
          <cell r="P3">
            <v>2352</v>
          </cell>
          <cell r="Q3">
            <v>2164</v>
          </cell>
          <cell r="R3">
            <v>500</v>
          </cell>
          <cell r="S3">
            <v>1956</v>
          </cell>
          <cell r="T3">
            <v>1855</v>
          </cell>
          <cell r="U3">
            <v>848</v>
          </cell>
          <cell r="V3">
            <v>1524.3333333333333</v>
          </cell>
          <cell r="W3">
            <v>41248.333333333336</v>
          </cell>
          <cell r="X3">
            <v>102</v>
          </cell>
          <cell r="Y3">
            <v>404.39542483660131</v>
          </cell>
          <cell r="Z3">
            <v>43378</v>
          </cell>
          <cell r="AA3">
            <v>33937</v>
          </cell>
          <cell r="AB3">
            <v>318.45</v>
          </cell>
          <cell r="AC3">
            <v>404.39542483660131</v>
          </cell>
          <cell r="AD3">
            <v>722.8454248366013</v>
          </cell>
          <cell r="AE3">
            <v>74887</v>
          </cell>
          <cell r="AF3">
            <v>711.04</v>
          </cell>
        </row>
        <row r="4">
          <cell r="A4" t="str">
            <v>2015.G.0072.003</v>
          </cell>
          <cell r="B4" t="str">
            <v>S5072 003</v>
          </cell>
          <cell r="C4" t="str">
            <v>G</v>
          </cell>
          <cell r="D4" t="str">
            <v>COMUNE DI COMO</v>
          </cell>
          <cell r="E4" t="str">
            <v xml:space="preserve">Asilo Nido via Segantini 45 </v>
          </cell>
          <cell r="F4" t="str">
            <v>2017/232</v>
          </cell>
          <cell r="G4" t="e">
            <v>#N/A</v>
          </cell>
          <cell r="H4">
            <v>187.09</v>
          </cell>
          <cell r="I4" t="str">
            <v>Metano</v>
          </cell>
          <cell r="J4">
            <v>792</v>
          </cell>
          <cell r="K4">
            <v>1754</v>
          </cell>
          <cell r="L4">
            <v>2389</v>
          </cell>
          <cell r="M4">
            <v>3011</v>
          </cell>
          <cell r="N4">
            <v>2559</v>
          </cell>
          <cell r="O4">
            <v>1804</v>
          </cell>
          <cell r="P4">
            <v>1310</v>
          </cell>
          <cell r="Q4">
            <v>1297</v>
          </cell>
          <cell r="R4">
            <v>209</v>
          </cell>
          <cell r="S4">
            <v>123</v>
          </cell>
          <cell r="T4">
            <v>22</v>
          </cell>
          <cell r="U4">
            <v>358</v>
          </cell>
          <cell r="V4">
            <v>897.6</v>
          </cell>
          <cell r="W4">
            <v>16525.599999999999</v>
          </cell>
          <cell r="X4">
            <v>102</v>
          </cell>
          <cell r="Y4">
            <v>162.01568627450979</v>
          </cell>
          <cell r="Z4">
            <v>43378</v>
          </cell>
          <cell r="AA4">
            <v>69773</v>
          </cell>
          <cell r="AB4">
            <v>190.4</v>
          </cell>
          <cell r="AC4">
            <v>162.01568627450979</v>
          </cell>
          <cell r="AD4">
            <v>352.41568627450977</v>
          </cell>
          <cell r="AE4">
            <v>85547</v>
          </cell>
          <cell r="AF4">
            <v>340.98</v>
          </cell>
        </row>
        <row r="5">
          <cell r="A5" t="str">
            <v>2015.G.0072.004</v>
          </cell>
          <cell r="B5" t="str">
            <v>S5072 004</v>
          </cell>
          <cell r="C5" t="str">
            <v>G</v>
          </cell>
          <cell r="D5" t="str">
            <v>COMUNE DI COMO</v>
          </cell>
          <cell r="E5" t="str">
            <v>C.S.E. via Del Dos</v>
          </cell>
          <cell r="F5" t="str">
            <v>2017/216</v>
          </cell>
          <cell r="G5" t="e">
            <v>#N/A</v>
          </cell>
          <cell r="H5">
            <v>1510.6</v>
          </cell>
          <cell r="I5" t="str">
            <v>Metano</v>
          </cell>
          <cell r="J5">
            <v>10258</v>
          </cell>
          <cell r="K5">
            <v>17616</v>
          </cell>
          <cell r="L5">
            <v>19944</v>
          </cell>
          <cell r="M5">
            <v>23707</v>
          </cell>
          <cell r="N5">
            <v>18552</v>
          </cell>
          <cell r="O5">
            <v>18132</v>
          </cell>
          <cell r="P5">
            <v>14512</v>
          </cell>
          <cell r="Q5">
            <v>11311</v>
          </cell>
          <cell r="R5">
            <v>6824</v>
          </cell>
          <cell r="S5">
            <v>4654</v>
          </cell>
          <cell r="T5">
            <v>3482</v>
          </cell>
          <cell r="U5">
            <v>5956</v>
          </cell>
          <cell r="V5">
            <v>11625.733333333334</v>
          </cell>
          <cell r="W5">
            <v>166573.73333333334</v>
          </cell>
          <cell r="X5">
            <v>102</v>
          </cell>
          <cell r="Y5">
            <v>1633.0758169934641</v>
          </cell>
          <cell r="Z5">
            <v>43374</v>
          </cell>
          <cell r="AA5">
            <v>1003453</v>
          </cell>
          <cell r="AB5">
            <v>20342.599999999999</v>
          </cell>
          <cell r="AC5">
            <v>1633.0758169934641</v>
          </cell>
          <cell r="AD5">
            <v>21975.675816993462</v>
          </cell>
          <cell r="AE5">
            <v>1125395</v>
          </cell>
          <cell r="AF5">
            <v>21702.9</v>
          </cell>
        </row>
        <row r="6">
          <cell r="A6" t="str">
            <v>2015.G.0072.005</v>
          </cell>
          <cell r="B6" t="str">
            <v>S5072 005</v>
          </cell>
          <cell r="C6" t="str">
            <v>G</v>
          </cell>
          <cell r="D6" t="str">
            <v>COMUNE DI COMO</v>
          </cell>
          <cell r="E6" t="str">
            <v>Case Comunali - via Polano</v>
          </cell>
          <cell r="F6" t="str">
            <v>2017/248</v>
          </cell>
          <cell r="G6" t="e">
            <v>#N/A</v>
          </cell>
          <cell r="H6">
            <v>191.49</v>
          </cell>
          <cell r="I6" t="str">
            <v>Metano</v>
          </cell>
          <cell r="J6">
            <v>1236</v>
          </cell>
          <cell r="K6">
            <v>2392</v>
          </cell>
          <cell r="L6">
            <v>3249</v>
          </cell>
          <cell r="M6">
            <v>3497</v>
          </cell>
          <cell r="N6">
            <v>2991</v>
          </cell>
          <cell r="O6">
            <v>2749</v>
          </cell>
          <cell r="P6">
            <v>2044</v>
          </cell>
          <cell r="Q6">
            <v>758</v>
          </cell>
          <cell r="R6">
            <v>514</v>
          </cell>
          <cell r="S6">
            <v>480</v>
          </cell>
          <cell r="T6">
            <v>462</v>
          </cell>
          <cell r="U6">
            <v>482</v>
          </cell>
          <cell r="V6">
            <v>1400.8</v>
          </cell>
          <cell r="W6">
            <v>22254.799999999999</v>
          </cell>
          <cell r="X6">
            <v>102</v>
          </cell>
          <cell r="Y6">
            <v>218.1843137254902</v>
          </cell>
          <cell r="Z6">
            <v>43390</v>
          </cell>
          <cell r="AA6">
            <v>46893</v>
          </cell>
          <cell r="AB6">
            <v>195.82</v>
          </cell>
          <cell r="AC6">
            <v>218.1843137254902</v>
          </cell>
          <cell r="AD6">
            <v>414.00431372549019</v>
          </cell>
          <cell r="AE6">
            <v>67546</v>
          </cell>
          <cell r="AF6">
            <v>391.04</v>
          </cell>
        </row>
        <row r="7">
          <cell r="A7" t="str">
            <v>2015.G.0072.007</v>
          </cell>
          <cell r="B7" t="str">
            <v>S5072 007</v>
          </cell>
          <cell r="C7" t="str">
            <v>G</v>
          </cell>
          <cell r="D7" t="str">
            <v>COMUNE DI COMO</v>
          </cell>
          <cell r="E7" t="str">
            <v>Casa Famiglia (cucina) - via Brambilla 53</v>
          </cell>
          <cell r="F7" t="str">
            <v>2017/225</v>
          </cell>
          <cell r="G7" t="e">
            <v>#N/A</v>
          </cell>
          <cell r="H7">
            <v>85.63</v>
          </cell>
          <cell r="I7" t="str">
            <v>Metano</v>
          </cell>
          <cell r="J7">
            <v>38</v>
          </cell>
          <cell r="K7">
            <v>42</v>
          </cell>
          <cell r="L7">
            <v>46</v>
          </cell>
          <cell r="M7">
            <v>48</v>
          </cell>
          <cell r="N7">
            <v>44</v>
          </cell>
          <cell r="O7">
            <v>43</v>
          </cell>
          <cell r="P7">
            <v>0</v>
          </cell>
          <cell r="Q7">
            <v>76</v>
          </cell>
          <cell r="R7">
            <v>33</v>
          </cell>
          <cell r="S7">
            <v>101</v>
          </cell>
          <cell r="T7">
            <v>30</v>
          </cell>
          <cell r="U7">
            <v>33</v>
          </cell>
          <cell r="V7">
            <v>43.06666666666667</v>
          </cell>
          <cell r="W7">
            <v>577.06666666666672</v>
          </cell>
          <cell r="X7">
            <v>102</v>
          </cell>
          <cell r="Y7">
            <v>5.6575163398692814</v>
          </cell>
          <cell r="Z7">
            <v>43396</v>
          </cell>
          <cell r="AA7">
            <v>16753</v>
          </cell>
          <cell r="AB7">
            <v>88.83</v>
          </cell>
          <cell r="AC7">
            <v>5.6575163398692814</v>
          </cell>
          <cell r="AD7">
            <v>94.487516339869273</v>
          </cell>
          <cell r="AE7">
            <v>23808</v>
          </cell>
          <cell r="AF7">
            <v>156.41999999999999</v>
          </cell>
        </row>
        <row r="8">
          <cell r="A8" t="str">
            <v>2015.G.0072.008</v>
          </cell>
          <cell r="B8" t="str">
            <v>S5072 008</v>
          </cell>
          <cell r="C8" t="str">
            <v>G</v>
          </cell>
          <cell r="D8" t="str">
            <v>COMUNE DI COMO</v>
          </cell>
          <cell r="E8" t="str">
            <v>Centro Sociale - via Negretti 4</v>
          </cell>
          <cell r="F8" t="str">
            <v>2017/237</v>
          </cell>
          <cell r="G8" t="e">
            <v>#N/A</v>
          </cell>
          <cell r="H8">
            <v>70.86</v>
          </cell>
          <cell r="I8" t="str">
            <v>Metano</v>
          </cell>
          <cell r="J8">
            <v>277</v>
          </cell>
          <cell r="K8">
            <v>695</v>
          </cell>
          <cell r="L8">
            <v>818</v>
          </cell>
          <cell r="M8">
            <v>1007</v>
          </cell>
          <cell r="N8">
            <v>767</v>
          </cell>
          <cell r="O8">
            <v>629</v>
          </cell>
          <cell r="P8">
            <v>375</v>
          </cell>
          <cell r="Q8">
            <v>200</v>
          </cell>
          <cell r="R8">
            <v>109</v>
          </cell>
          <cell r="S8">
            <v>161</v>
          </cell>
          <cell r="T8">
            <v>167</v>
          </cell>
          <cell r="U8">
            <v>177</v>
          </cell>
          <cell r="V8">
            <v>313.93333333333334</v>
          </cell>
          <cell r="W8">
            <v>5695.9333333333334</v>
          </cell>
          <cell r="X8">
            <v>102</v>
          </cell>
          <cell r="Y8">
            <v>55.842483660130718</v>
          </cell>
          <cell r="Z8">
            <v>43389</v>
          </cell>
          <cell r="AA8">
            <v>16370</v>
          </cell>
          <cell r="AB8">
            <v>72.94</v>
          </cell>
          <cell r="AC8">
            <v>55.842483660130718</v>
          </cell>
          <cell r="AD8">
            <v>128.78248366013071</v>
          </cell>
          <cell r="AE8">
            <v>21817</v>
          </cell>
          <cell r="AF8">
            <v>124.4</v>
          </cell>
        </row>
        <row r="9">
          <cell r="A9" t="str">
            <v>2015.G.0072.009</v>
          </cell>
          <cell r="B9" t="str">
            <v>S5072 009</v>
          </cell>
          <cell r="C9" t="str">
            <v>G</v>
          </cell>
          <cell r="D9" t="str">
            <v>COMUNE DI COMO</v>
          </cell>
          <cell r="E9" t="str">
            <v>Comando Polizia Munic. - viale Innocenzo XI 18</v>
          </cell>
          <cell r="F9" t="str">
            <v>2017/235</v>
          </cell>
          <cell r="G9" t="e">
            <v>#N/A</v>
          </cell>
          <cell r="H9">
            <v>110.98</v>
          </cell>
          <cell r="I9" t="str">
            <v>Metano</v>
          </cell>
          <cell r="J9">
            <v>490</v>
          </cell>
          <cell r="K9">
            <v>1769</v>
          </cell>
          <cell r="L9">
            <v>2830</v>
          </cell>
          <cell r="M9">
            <v>2975</v>
          </cell>
          <cell r="N9">
            <v>2079</v>
          </cell>
          <cell r="O9">
            <v>1571</v>
          </cell>
          <cell r="P9">
            <v>848</v>
          </cell>
          <cell r="Q9">
            <v>410</v>
          </cell>
          <cell r="R9">
            <v>277</v>
          </cell>
          <cell r="S9">
            <v>273</v>
          </cell>
          <cell r="T9">
            <v>286</v>
          </cell>
          <cell r="U9">
            <v>325</v>
          </cell>
          <cell r="V9">
            <v>555.33333333333337</v>
          </cell>
          <cell r="W9">
            <v>14688.333333333334</v>
          </cell>
          <cell r="X9">
            <v>102</v>
          </cell>
          <cell r="Y9">
            <v>144.00326797385623</v>
          </cell>
          <cell r="Z9">
            <v>43389</v>
          </cell>
          <cell r="AA9">
            <v>26652</v>
          </cell>
          <cell r="AB9">
            <v>114.42</v>
          </cell>
          <cell r="AC9">
            <v>144.00326797385623</v>
          </cell>
          <cell r="AD9">
            <v>258.42326797385624</v>
          </cell>
          <cell r="AE9">
            <v>40775</v>
          </cell>
          <cell r="AF9">
            <v>249.22</v>
          </cell>
        </row>
        <row r="10">
          <cell r="A10" t="str">
            <v>2015.G.0072.010</v>
          </cell>
          <cell r="B10" t="str">
            <v>S5072 010</v>
          </cell>
          <cell r="C10" t="str">
            <v>G</v>
          </cell>
          <cell r="D10" t="str">
            <v>COMUNE DI COMO</v>
          </cell>
          <cell r="E10" t="str">
            <v>Municipio - via Vitt. Emanuele II</v>
          </cell>
          <cell r="F10" t="str">
            <v>2017/255</v>
          </cell>
          <cell r="G10" t="e">
            <v>#N/A</v>
          </cell>
          <cell r="H10">
            <v>1374</v>
          </cell>
          <cell r="I10" t="str">
            <v>Metano</v>
          </cell>
          <cell r="J10">
            <v>4082</v>
          </cell>
          <cell r="K10">
            <v>20205</v>
          </cell>
          <cell r="L10">
            <v>28422</v>
          </cell>
          <cell r="M10">
            <v>31942</v>
          </cell>
          <cell r="N10">
            <v>32406</v>
          </cell>
          <cell r="O10">
            <v>22670</v>
          </cell>
          <cell r="P10">
            <v>5167</v>
          </cell>
          <cell r="Q10">
            <v>-3941</v>
          </cell>
          <cell r="R10">
            <v>3805</v>
          </cell>
          <cell r="S10">
            <v>10079</v>
          </cell>
          <cell r="T10">
            <v>9224</v>
          </cell>
          <cell r="U10">
            <v>5342</v>
          </cell>
          <cell r="V10">
            <v>4626.2666666666664</v>
          </cell>
          <cell r="W10">
            <v>174029.26666666666</v>
          </cell>
          <cell r="X10">
            <v>102</v>
          </cell>
          <cell r="Y10">
            <v>1706.1692810457516</v>
          </cell>
          <cell r="Z10">
            <v>43391</v>
          </cell>
          <cell r="AA10">
            <v>1067949</v>
          </cell>
          <cell r="AB10">
            <v>1898.9600000000003</v>
          </cell>
          <cell r="AC10">
            <v>1706.1692810457516</v>
          </cell>
          <cell r="AD10">
            <v>3605.1292810457517</v>
          </cell>
          <cell r="AE10">
            <v>1199624</v>
          </cell>
          <cell r="AF10">
            <v>3529.2299999999996</v>
          </cell>
        </row>
        <row r="11">
          <cell r="A11" t="str">
            <v>2015.G.0072.013</v>
          </cell>
          <cell r="B11" t="str">
            <v>S5072 013</v>
          </cell>
          <cell r="C11" t="str">
            <v>G</v>
          </cell>
          <cell r="D11" t="str">
            <v>COMUNE DI COMO</v>
          </cell>
          <cell r="E11" t="str">
            <v>Università / Ist. Carducci via Cavallotti 5</v>
          </cell>
          <cell r="F11" t="str">
            <v>2017/258</v>
          </cell>
          <cell r="G11" t="e">
            <v>#N/A</v>
          </cell>
          <cell r="H11">
            <v>346.37</v>
          </cell>
          <cell r="I11" t="str">
            <v>Metano</v>
          </cell>
          <cell r="J11">
            <v>672</v>
          </cell>
          <cell r="K11">
            <v>3990</v>
          </cell>
          <cell r="L11">
            <v>5905</v>
          </cell>
          <cell r="M11">
            <v>7618</v>
          </cell>
          <cell r="N11">
            <v>8378</v>
          </cell>
          <cell r="O11">
            <v>3680</v>
          </cell>
          <cell r="P11">
            <v>2242</v>
          </cell>
          <cell r="Q11">
            <v>1</v>
          </cell>
          <cell r="R11">
            <v>0</v>
          </cell>
          <cell r="S11">
            <v>0</v>
          </cell>
          <cell r="T11">
            <v>1</v>
          </cell>
          <cell r="U11">
            <v>0</v>
          </cell>
          <cell r="V11">
            <v>761.6</v>
          </cell>
          <cell r="W11">
            <v>33248.6</v>
          </cell>
          <cell r="X11">
            <v>102</v>
          </cell>
          <cell r="Y11">
            <v>325.96666666666664</v>
          </cell>
          <cell r="Z11">
            <v>43390</v>
          </cell>
          <cell r="AA11">
            <v>40075</v>
          </cell>
          <cell r="AB11">
            <v>356.78</v>
          </cell>
          <cell r="AC11">
            <v>325.96666666666664</v>
          </cell>
          <cell r="AD11">
            <v>682.74666666666667</v>
          </cell>
          <cell r="AE11">
            <v>72472</v>
          </cell>
          <cell r="AF11">
            <v>677.62</v>
          </cell>
        </row>
        <row r="12">
          <cell r="A12" t="str">
            <v>2015.G.0072.016</v>
          </cell>
          <cell r="B12" t="str">
            <v>S5072 016</v>
          </cell>
          <cell r="C12" t="str">
            <v>G</v>
          </cell>
          <cell r="D12" t="str">
            <v>COMUNE DI COMO</v>
          </cell>
          <cell r="E12" t="str">
            <v>Musei Civici - Piazza Medaglie d'Oro</v>
          </cell>
          <cell r="F12" t="str">
            <v>2017/251</v>
          </cell>
          <cell r="G12" t="e">
            <v>#N/A</v>
          </cell>
          <cell r="H12">
            <v>558</v>
          </cell>
          <cell r="I12" t="str">
            <v>Metano</v>
          </cell>
          <cell r="J12">
            <v>1260</v>
          </cell>
          <cell r="K12">
            <v>7804</v>
          </cell>
          <cell r="L12">
            <v>10494</v>
          </cell>
          <cell r="M12">
            <v>11712</v>
          </cell>
          <cell r="N12">
            <v>9752</v>
          </cell>
          <cell r="O12">
            <v>7518</v>
          </cell>
          <cell r="P12">
            <v>3523</v>
          </cell>
          <cell r="Q12">
            <v>371</v>
          </cell>
          <cell r="R12">
            <v>0</v>
          </cell>
          <cell r="S12">
            <v>0</v>
          </cell>
          <cell r="T12">
            <v>0</v>
          </cell>
          <cell r="U12">
            <v>5</v>
          </cell>
          <cell r="V12">
            <v>1428</v>
          </cell>
          <cell r="W12">
            <v>53867</v>
          </cell>
          <cell r="X12">
            <v>102</v>
          </cell>
          <cell r="Y12">
            <v>528.10784313725492</v>
          </cell>
          <cell r="Z12">
            <v>43388</v>
          </cell>
          <cell r="AA12">
            <v>62533</v>
          </cell>
          <cell r="AB12">
            <v>558</v>
          </cell>
          <cell r="AC12">
            <v>528.10784313725492</v>
          </cell>
          <cell r="AD12">
            <v>1086.1078431372548</v>
          </cell>
          <cell r="AE12">
            <v>114792</v>
          </cell>
          <cell r="AF12">
            <v>4310.51</v>
          </cell>
        </row>
        <row r="13">
          <cell r="A13" t="str">
            <v>2015.G.0072.017</v>
          </cell>
          <cell r="B13" t="str">
            <v>S5072 017</v>
          </cell>
          <cell r="C13" t="str">
            <v>G</v>
          </cell>
          <cell r="D13" t="str">
            <v>COMUNE DI COMO</v>
          </cell>
          <cell r="E13" t="str">
            <v>S.Pietro in Atrio / Uff. Com. via Odescalchi 13</v>
          </cell>
          <cell r="F13" t="str">
            <v>2017/244</v>
          </cell>
          <cell r="G13" t="e">
            <v>#N/A</v>
          </cell>
          <cell r="H13">
            <v>125.73</v>
          </cell>
          <cell r="I13" t="str">
            <v>Metano</v>
          </cell>
          <cell r="J13">
            <v>135</v>
          </cell>
          <cell r="K13">
            <v>892</v>
          </cell>
          <cell r="L13">
            <v>1230</v>
          </cell>
          <cell r="M13">
            <v>2151</v>
          </cell>
          <cell r="N13">
            <v>2297</v>
          </cell>
          <cell r="O13">
            <v>1916</v>
          </cell>
          <cell r="P13">
            <v>823</v>
          </cell>
          <cell r="Q13">
            <v>63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153</v>
          </cell>
          <cell r="W13">
            <v>9660</v>
          </cell>
          <cell r="X13">
            <v>102</v>
          </cell>
          <cell r="Y13">
            <v>94.705882352941174</v>
          </cell>
          <cell r="Z13">
            <v>43390</v>
          </cell>
          <cell r="AA13">
            <v>69949</v>
          </cell>
          <cell r="AB13">
            <v>125.88</v>
          </cell>
          <cell r="AC13">
            <v>94.705882352941174</v>
          </cell>
          <cell r="AD13">
            <v>220.58588235294116</v>
          </cell>
          <cell r="AE13">
            <v>79390</v>
          </cell>
          <cell r="AF13">
            <v>219.04</v>
          </cell>
        </row>
        <row r="14">
          <cell r="A14" t="str">
            <v>2015.G.0072.019</v>
          </cell>
          <cell r="B14" t="str">
            <v>S5072 019</v>
          </cell>
          <cell r="C14" t="str">
            <v>G</v>
          </cell>
          <cell r="D14" t="str">
            <v>COMUNE DI COMO</v>
          </cell>
          <cell r="E14" t="str">
            <v>Palestra via Brogeda</v>
          </cell>
          <cell r="F14" t="str">
            <v>2017/211</v>
          </cell>
          <cell r="G14" t="e">
            <v>#N/A</v>
          </cell>
          <cell r="H14">
            <v>115.834</v>
          </cell>
          <cell r="I14" t="str">
            <v>Metano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144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144</v>
          </cell>
          <cell r="X14">
            <v>102</v>
          </cell>
          <cell r="Y14">
            <v>1.411764705882353</v>
          </cell>
          <cell r="Z14">
            <v>43396</v>
          </cell>
          <cell r="AB14">
            <v>116.92</v>
          </cell>
          <cell r="AC14">
            <v>1.411764705882353</v>
          </cell>
          <cell r="AD14">
            <v>118.33176470588235</v>
          </cell>
          <cell r="AE14">
            <v>38709</v>
          </cell>
          <cell r="AF14">
            <v>117.01</v>
          </cell>
        </row>
        <row r="15">
          <cell r="A15" t="str">
            <v>2015.G.0072.020</v>
          </cell>
          <cell r="B15" t="str">
            <v>S5072 020</v>
          </cell>
          <cell r="C15" t="str">
            <v>G</v>
          </cell>
          <cell r="D15" t="str">
            <v>COMUNE DI COMO</v>
          </cell>
          <cell r="E15" t="str">
            <v>Scuola Elementare via Brogeda 21</v>
          </cell>
          <cell r="F15" t="str">
            <v>2017/212</v>
          </cell>
          <cell r="G15" t="e">
            <v>#N/A</v>
          </cell>
          <cell r="H15">
            <v>282.54000000000002</v>
          </cell>
          <cell r="I15" t="str">
            <v>Metano</v>
          </cell>
          <cell r="J15">
            <v>1283</v>
          </cell>
          <cell r="K15">
            <v>4826</v>
          </cell>
          <cell r="L15">
            <v>6715</v>
          </cell>
          <cell r="M15">
            <v>7756</v>
          </cell>
          <cell r="N15">
            <v>6319</v>
          </cell>
          <cell r="O15">
            <v>4677</v>
          </cell>
          <cell r="P15">
            <v>1965</v>
          </cell>
          <cell r="Q15">
            <v>637</v>
          </cell>
          <cell r="R15">
            <v>0</v>
          </cell>
          <cell r="S15">
            <v>244</v>
          </cell>
          <cell r="T15">
            <v>111</v>
          </cell>
          <cell r="U15">
            <v>162</v>
          </cell>
          <cell r="V15">
            <v>1454.0666666666668</v>
          </cell>
          <cell r="W15">
            <v>36149.066666666666</v>
          </cell>
          <cell r="X15">
            <v>102</v>
          </cell>
          <cell r="Y15">
            <v>354.40261437908498</v>
          </cell>
          <cell r="Z15">
            <v>43385</v>
          </cell>
          <cell r="AA15">
            <v>109358</v>
          </cell>
          <cell r="AB15">
            <v>282.7</v>
          </cell>
          <cell r="AC15">
            <v>354.40261437908498</v>
          </cell>
          <cell r="AD15">
            <v>637.10261437908503</v>
          </cell>
          <cell r="AE15">
            <v>142245</v>
          </cell>
          <cell r="AF15">
            <v>725.95</v>
          </cell>
        </row>
        <row r="16">
          <cell r="A16" t="str">
            <v>2015.G.0072.021</v>
          </cell>
          <cell r="B16" t="str">
            <v>S5072 021</v>
          </cell>
          <cell r="C16" t="str">
            <v>G</v>
          </cell>
          <cell r="D16" t="str">
            <v>COMUNE DI COMO</v>
          </cell>
          <cell r="E16" t="str">
            <v>Scuola Elementare via Fiume 2</v>
          </cell>
          <cell r="F16" t="str">
            <v>2017/221</v>
          </cell>
          <cell r="G16" t="e">
            <v>#N/A</v>
          </cell>
          <cell r="H16">
            <v>571.24</v>
          </cell>
          <cell r="I16" t="str">
            <v>Metano</v>
          </cell>
          <cell r="J16">
            <v>1725</v>
          </cell>
          <cell r="K16">
            <v>6575</v>
          </cell>
          <cell r="L16">
            <v>11382</v>
          </cell>
          <cell r="M16">
            <v>15186</v>
          </cell>
          <cell r="N16">
            <v>11375</v>
          </cell>
          <cell r="O16">
            <v>7903</v>
          </cell>
          <cell r="P16">
            <v>4871</v>
          </cell>
          <cell r="Q16">
            <v>115</v>
          </cell>
          <cell r="R16">
            <v>32</v>
          </cell>
          <cell r="S16">
            <v>3</v>
          </cell>
          <cell r="T16">
            <v>0</v>
          </cell>
          <cell r="U16">
            <v>24</v>
          </cell>
          <cell r="V16">
            <v>1955.0000000000002</v>
          </cell>
          <cell r="W16">
            <v>61146</v>
          </cell>
          <cell r="X16">
            <v>102</v>
          </cell>
          <cell r="Y16">
            <v>599.47058823529414</v>
          </cell>
          <cell r="Z16">
            <v>43385</v>
          </cell>
          <cell r="AA16">
            <v>104350</v>
          </cell>
          <cell r="AB16">
            <v>569.47</v>
          </cell>
          <cell r="AC16">
            <v>599.47058823529414</v>
          </cell>
          <cell r="AD16">
            <v>1168.9405882352942</v>
          </cell>
          <cell r="AE16">
            <v>163553</v>
          </cell>
          <cell r="AF16">
            <v>1153.3900000000001</v>
          </cell>
        </row>
        <row r="17">
          <cell r="A17" t="str">
            <v>2015.G.0072.022</v>
          </cell>
          <cell r="B17" t="str">
            <v>S5072 022</v>
          </cell>
          <cell r="C17" t="str">
            <v>G</v>
          </cell>
          <cell r="D17" t="str">
            <v>COMUNE DI COMO</v>
          </cell>
          <cell r="E17" t="str">
            <v xml:space="preserve"> Scuola Elementare via Giussani 81</v>
          </cell>
          <cell r="F17" t="str">
            <v>2017/239</v>
          </cell>
          <cell r="G17" t="e">
            <v>#N/A</v>
          </cell>
          <cell r="H17">
            <v>682.43</v>
          </cell>
          <cell r="I17" t="str">
            <v>Metano</v>
          </cell>
          <cell r="J17">
            <v>2427</v>
          </cell>
          <cell r="K17">
            <v>5515</v>
          </cell>
          <cell r="L17">
            <v>10712</v>
          </cell>
          <cell r="M17">
            <v>13384</v>
          </cell>
          <cell r="N17">
            <v>11662</v>
          </cell>
          <cell r="O17">
            <v>11490</v>
          </cell>
          <cell r="P17">
            <v>4750</v>
          </cell>
          <cell r="Q17">
            <v>0</v>
          </cell>
          <cell r="R17">
            <v>665</v>
          </cell>
          <cell r="S17">
            <v>293</v>
          </cell>
          <cell r="T17">
            <v>0</v>
          </cell>
          <cell r="U17">
            <v>547</v>
          </cell>
          <cell r="V17">
            <v>2750.6</v>
          </cell>
          <cell r="W17">
            <v>64195.6</v>
          </cell>
          <cell r="X17">
            <v>102</v>
          </cell>
          <cell r="Y17">
            <v>629.3686274509804</v>
          </cell>
          <cell r="Z17">
            <v>43385</v>
          </cell>
          <cell r="AA17">
            <v>251836</v>
          </cell>
          <cell r="AB17">
            <v>693.95</v>
          </cell>
          <cell r="AC17">
            <v>629.3686274509804</v>
          </cell>
          <cell r="AD17">
            <v>1323.3186274509803</v>
          </cell>
          <cell r="AE17">
            <v>308905</v>
          </cell>
          <cell r="AF17">
            <v>1297.33</v>
          </cell>
        </row>
        <row r="18">
          <cell r="A18" t="str">
            <v>2015.G.0072.023</v>
          </cell>
          <cell r="B18" t="str">
            <v>S5072 023</v>
          </cell>
          <cell r="C18" t="str">
            <v>G</v>
          </cell>
          <cell r="D18" t="str">
            <v>COMUNE DI COMO</v>
          </cell>
          <cell r="E18" t="str">
            <v>Scuola Elem. via XX Settembre 12</v>
          </cell>
          <cell r="F18" t="str">
            <v>2017/256</v>
          </cell>
          <cell r="G18" t="e">
            <v>#N/A</v>
          </cell>
          <cell r="H18">
            <v>186</v>
          </cell>
          <cell r="I18" t="str">
            <v>Metano</v>
          </cell>
          <cell r="J18">
            <v>525</v>
          </cell>
          <cell r="K18">
            <v>2122</v>
          </cell>
          <cell r="L18">
            <v>3528</v>
          </cell>
          <cell r="M18">
            <v>4434</v>
          </cell>
          <cell r="N18">
            <v>3431</v>
          </cell>
          <cell r="O18">
            <v>2226</v>
          </cell>
          <cell r="P18">
            <v>852</v>
          </cell>
          <cell r="Q18">
            <v>3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595</v>
          </cell>
          <cell r="W18">
            <v>17716</v>
          </cell>
          <cell r="X18">
            <v>102</v>
          </cell>
          <cell r="Y18">
            <v>173.68627450980392</v>
          </cell>
          <cell r="Z18">
            <v>43389</v>
          </cell>
          <cell r="AA18">
            <v>60294</v>
          </cell>
          <cell r="AB18">
            <v>199.61</v>
          </cell>
          <cell r="AC18">
            <v>173.68627450980392</v>
          </cell>
          <cell r="AD18">
            <v>373.29627450980394</v>
          </cell>
          <cell r="AE18">
            <v>77363</v>
          </cell>
          <cell r="AF18">
            <v>368.58</v>
          </cell>
        </row>
        <row r="19">
          <cell r="A19" t="str">
            <v>2015.G.0072.024</v>
          </cell>
          <cell r="B19" t="str">
            <v>S5072 024</v>
          </cell>
          <cell r="C19" t="str">
            <v>G</v>
          </cell>
          <cell r="D19" t="str">
            <v>COMUNE DI COMO</v>
          </cell>
          <cell r="E19" t="str">
            <v>Scuola Materna via Amoretti</v>
          </cell>
          <cell r="F19" t="str">
            <v>2017/213</v>
          </cell>
          <cell r="G19" t="e">
            <v>#N/A</v>
          </cell>
          <cell r="H19">
            <v>177.36</v>
          </cell>
          <cell r="I19" t="str">
            <v>Metano</v>
          </cell>
          <cell r="J19">
            <v>1000</v>
          </cell>
          <cell r="K19">
            <v>1719</v>
          </cell>
          <cell r="L19">
            <v>3021</v>
          </cell>
          <cell r="M19">
            <v>3826</v>
          </cell>
          <cell r="N19">
            <v>3090</v>
          </cell>
          <cell r="O19">
            <v>2490</v>
          </cell>
          <cell r="P19">
            <v>1621</v>
          </cell>
          <cell r="Q19">
            <v>1250</v>
          </cell>
          <cell r="R19">
            <v>124</v>
          </cell>
          <cell r="S19">
            <v>0</v>
          </cell>
          <cell r="T19">
            <v>0</v>
          </cell>
          <cell r="U19">
            <v>95</v>
          </cell>
          <cell r="V19">
            <v>1133.3333333333333</v>
          </cell>
          <cell r="W19">
            <v>19369.333333333332</v>
          </cell>
          <cell r="X19">
            <v>102</v>
          </cell>
          <cell r="Y19">
            <v>189.89542483660131</v>
          </cell>
          <cell r="Z19">
            <v>43378</v>
          </cell>
          <cell r="AA19">
            <v>71824</v>
          </cell>
          <cell r="AB19">
            <v>179.02</v>
          </cell>
          <cell r="AC19">
            <v>189.89542483660131</v>
          </cell>
          <cell r="AD19">
            <v>368.91542483660135</v>
          </cell>
          <cell r="AE19">
            <v>90095</v>
          </cell>
          <cell r="AF19">
            <v>361.6</v>
          </cell>
        </row>
        <row r="20">
          <cell r="A20" t="str">
            <v>2015.G.0072.025</v>
          </cell>
          <cell r="B20" t="str">
            <v>S5072 025</v>
          </cell>
          <cell r="C20" t="str">
            <v>G</v>
          </cell>
          <cell r="D20" t="str">
            <v>COMUNE DI COMO</v>
          </cell>
          <cell r="E20" t="str">
            <v>Scuola Mat. via Brambilla</v>
          </cell>
          <cell r="F20" t="str">
            <v>2017/223</v>
          </cell>
          <cell r="G20" t="e">
            <v>#N/A</v>
          </cell>
          <cell r="H20">
            <v>77.777777777777771</v>
          </cell>
          <cell r="I20" t="str">
            <v>Metano</v>
          </cell>
          <cell r="J20">
            <v>413</v>
          </cell>
          <cell r="K20">
            <v>880</v>
          </cell>
          <cell r="L20">
            <v>1209</v>
          </cell>
          <cell r="M20">
            <v>1664</v>
          </cell>
          <cell r="N20">
            <v>1378</v>
          </cell>
          <cell r="O20">
            <v>1020</v>
          </cell>
          <cell r="P20">
            <v>491</v>
          </cell>
          <cell r="Q20">
            <v>328</v>
          </cell>
          <cell r="R20">
            <v>82</v>
          </cell>
          <cell r="S20">
            <v>27</v>
          </cell>
          <cell r="T20">
            <v>0</v>
          </cell>
          <cell r="U20">
            <v>25</v>
          </cell>
          <cell r="V20">
            <v>468.06666666666661</v>
          </cell>
          <cell r="W20">
            <v>7985.0666666666666</v>
          </cell>
          <cell r="X20">
            <v>102</v>
          </cell>
          <cell r="Y20">
            <v>78.284967320261444</v>
          </cell>
          <cell r="Z20">
            <v>43378</v>
          </cell>
          <cell r="AA20">
            <v>33154</v>
          </cell>
          <cell r="AB20">
            <v>84.6</v>
          </cell>
          <cell r="AC20">
            <v>78.284967320261444</v>
          </cell>
          <cell r="AD20">
            <v>162.88496732026144</v>
          </cell>
          <cell r="AE20">
            <v>40732</v>
          </cell>
          <cell r="AF20">
            <v>157.07</v>
          </cell>
        </row>
        <row r="21">
          <cell r="A21" t="str">
            <v>2015.G.0072.026</v>
          </cell>
          <cell r="B21" t="str">
            <v>S5072 026</v>
          </cell>
          <cell r="C21" t="str">
            <v>G</v>
          </cell>
          <cell r="D21" t="str">
            <v>COMUNE DI COMO</v>
          </cell>
          <cell r="E21" t="str">
            <v>Scuola Mat. via Don Monza /p.le Giotto</v>
          </cell>
          <cell r="F21" t="str">
            <v>2017/219</v>
          </cell>
          <cell r="G21" t="e">
            <v>#N/A</v>
          </cell>
          <cell r="H21">
            <v>90.38</v>
          </cell>
          <cell r="I21" t="str">
            <v>Metano</v>
          </cell>
          <cell r="J21">
            <v>375</v>
          </cell>
          <cell r="K21">
            <v>1246</v>
          </cell>
          <cell r="L21">
            <v>2180</v>
          </cell>
          <cell r="M21">
            <v>2326</v>
          </cell>
          <cell r="N21">
            <v>1680</v>
          </cell>
          <cell r="O21">
            <v>1100</v>
          </cell>
          <cell r="P21">
            <v>600</v>
          </cell>
          <cell r="Q21">
            <v>99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425.00000000000006</v>
          </cell>
          <cell r="W21">
            <v>10031</v>
          </cell>
          <cell r="X21">
            <v>102</v>
          </cell>
          <cell r="Y21">
            <v>98.343137254901961</v>
          </cell>
          <cell r="Z21">
            <v>43378</v>
          </cell>
          <cell r="AA21">
            <v>43103</v>
          </cell>
          <cell r="AB21">
            <v>90.38</v>
          </cell>
          <cell r="AC21">
            <v>98.343137254901961</v>
          </cell>
          <cell r="AD21">
            <v>188.72313725490196</v>
          </cell>
          <cell r="AE21">
            <v>52712</v>
          </cell>
          <cell r="AF21">
            <v>184.13</v>
          </cell>
        </row>
        <row r="22">
          <cell r="A22" t="str">
            <v>2015.G.0072.027</v>
          </cell>
          <cell r="B22" t="str">
            <v>S5072 027</v>
          </cell>
          <cell r="C22" t="str">
            <v>G</v>
          </cell>
          <cell r="D22" t="str">
            <v>COMUNE DI COMO</v>
          </cell>
          <cell r="E22" t="str">
            <v>Scuola Materna - via Mirabello</v>
          </cell>
          <cell r="F22" t="str">
            <v>2017/242</v>
          </cell>
          <cell r="G22" t="e">
            <v>#N/A</v>
          </cell>
          <cell r="H22">
            <v>108.42</v>
          </cell>
          <cell r="I22" t="str">
            <v>Metano</v>
          </cell>
          <cell r="J22">
            <v>846</v>
          </cell>
          <cell r="K22">
            <v>2309</v>
          </cell>
          <cell r="L22">
            <v>3695</v>
          </cell>
          <cell r="M22">
            <v>4550</v>
          </cell>
          <cell r="N22">
            <v>3568</v>
          </cell>
          <cell r="O22">
            <v>2909</v>
          </cell>
          <cell r="P22">
            <v>2184</v>
          </cell>
          <cell r="Q22">
            <v>1833</v>
          </cell>
          <cell r="R22">
            <v>199</v>
          </cell>
          <cell r="S22">
            <v>221</v>
          </cell>
          <cell r="T22">
            <v>213</v>
          </cell>
          <cell r="U22">
            <v>243</v>
          </cell>
          <cell r="V22">
            <v>958.80000000000007</v>
          </cell>
          <cell r="W22">
            <v>23728.799999999999</v>
          </cell>
          <cell r="X22">
            <v>102</v>
          </cell>
          <cell r="Y22">
            <v>232.63529411764705</v>
          </cell>
          <cell r="Z22">
            <v>43378</v>
          </cell>
          <cell r="AA22">
            <v>23891</v>
          </cell>
          <cell r="AB22">
            <v>108.65</v>
          </cell>
          <cell r="AC22">
            <v>232.63529411764705</v>
          </cell>
          <cell r="AD22">
            <v>341.28529411764703</v>
          </cell>
          <cell r="AE22">
            <v>46819</v>
          </cell>
          <cell r="AF22">
            <v>329.34</v>
          </cell>
        </row>
        <row r="23">
          <cell r="A23" t="str">
            <v>2015.G.0072.028</v>
          </cell>
          <cell r="B23" t="str">
            <v>S5072 028</v>
          </cell>
          <cell r="C23" t="str">
            <v>G</v>
          </cell>
          <cell r="D23" t="str">
            <v>COMUNE DI COMO</v>
          </cell>
          <cell r="E23" t="str">
            <v>Scuola Materna - viale Rosselli</v>
          </cell>
          <cell r="F23" t="str">
            <v>2017/259</v>
          </cell>
          <cell r="G23" t="e">
            <v>#N/A</v>
          </cell>
          <cell r="H23">
            <v>191.22</v>
          </cell>
          <cell r="I23" t="str">
            <v>Metano</v>
          </cell>
          <cell r="J23">
            <v>1029</v>
          </cell>
          <cell r="K23">
            <v>2406</v>
          </cell>
          <cell r="L23">
            <v>2730</v>
          </cell>
          <cell r="M23">
            <v>4068</v>
          </cell>
          <cell r="N23">
            <v>3565</v>
          </cell>
          <cell r="O23">
            <v>2827</v>
          </cell>
          <cell r="P23">
            <v>1820</v>
          </cell>
          <cell r="Q23">
            <v>1317</v>
          </cell>
          <cell r="R23">
            <v>0</v>
          </cell>
          <cell r="S23">
            <v>307</v>
          </cell>
          <cell r="T23">
            <v>320</v>
          </cell>
          <cell r="U23">
            <v>428</v>
          </cell>
          <cell r="V23">
            <v>1166.2</v>
          </cell>
          <cell r="W23">
            <v>21983.200000000001</v>
          </cell>
          <cell r="X23">
            <v>102</v>
          </cell>
          <cell r="Y23">
            <v>215.52156862745099</v>
          </cell>
          <cell r="Z23">
            <v>43378</v>
          </cell>
          <cell r="AA23">
            <v>101047</v>
          </cell>
          <cell r="AB23">
            <v>191.82</v>
          </cell>
          <cell r="AC23">
            <v>215.52156862745099</v>
          </cell>
          <cell r="AD23">
            <v>407.34156862745101</v>
          </cell>
          <cell r="AE23">
            <v>122328</v>
          </cell>
          <cell r="AF23">
            <v>393.62</v>
          </cell>
        </row>
        <row r="24">
          <cell r="A24" t="str">
            <v>2015.G.0072.029</v>
          </cell>
          <cell r="B24" t="str">
            <v>S5072 029</v>
          </cell>
          <cell r="C24" t="str">
            <v>G</v>
          </cell>
          <cell r="D24" t="str">
            <v>COMUNE DI COMO</v>
          </cell>
          <cell r="E24" t="str">
            <v>Scuola Materna - via Segantini</v>
          </cell>
          <cell r="F24" t="str">
            <v>2017/233</v>
          </cell>
          <cell r="G24" t="e">
            <v>#N/A</v>
          </cell>
          <cell r="H24">
            <v>194.89</v>
          </cell>
          <cell r="I24" t="str">
            <v>Metano</v>
          </cell>
          <cell r="J24">
            <v>1439</v>
          </cell>
          <cell r="K24">
            <v>2399</v>
          </cell>
          <cell r="L24">
            <v>827</v>
          </cell>
          <cell r="M24">
            <v>3254</v>
          </cell>
          <cell r="N24">
            <v>5794</v>
          </cell>
          <cell r="O24">
            <v>2532</v>
          </cell>
          <cell r="P24">
            <v>1738</v>
          </cell>
          <cell r="Q24">
            <v>1306</v>
          </cell>
          <cell r="R24">
            <v>221</v>
          </cell>
          <cell r="S24">
            <v>114</v>
          </cell>
          <cell r="T24">
            <v>80</v>
          </cell>
          <cell r="U24">
            <v>302</v>
          </cell>
          <cell r="V24">
            <v>1630.8666666666666</v>
          </cell>
          <cell r="W24">
            <v>21636.866666666665</v>
          </cell>
          <cell r="X24">
            <v>102</v>
          </cell>
          <cell r="Y24">
            <v>212.12614379084965</v>
          </cell>
          <cell r="Z24">
            <v>43378</v>
          </cell>
          <cell r="AA24">
            <v>4636</v>
          </cell>
          <cell r="AB24">
            <v>198.39</v>
          </cell>
          <cell r="AC24">
            <v>212.12614379084965</v>
          </cell>
          <cell r="AD24">
            <v>410.51614379084964</v>
          </cell>
          <cell r="AE24">
            <v>8950</v>
          </cell>
          <cell r="AF24">
            <v>319.16000000000003</v>
          </cell>
        </row>
        <row r="25">
          <cell r="A25" t="str">
            <v>2015.G.0072.031</v>
          </cell>
          <cell r="B25" t="str">
            <v>S5072 031</v>
          </cell>
          <cell r="C25" t="str">
            <v>G</v>
          </cell>
          <cell r="D25" t="str">
            <v>COMUNE DI COMO</v>
          </cell>
          <cell r="E25" t="str">
            <v>Scuola Materna via Volta</v>
          </cell>
          <cell r="F25" t="str">
            <v>2017/264</v>
          </cell>
          <cell r="G25" t="e">
            <v>#N/A</v>
          </cell>
          <cell r="H25">
            <v>91.59</v>
          </cell>
          <cell r="I25" t="str">
            <v>Metano</v>
          </cell>
          <cell r="J25">
            <v>225</v>
          </cell>
          <cell r="K25">
            <v>972</v>
          </cell>
          <cell r="L25">
            <v>1617</v>
          </cell>
          <cell r="M25">
            <v>2185</v>
          </cell>
          <cell r="N25">
            <v>1732</v>
          </cell>
          <cell r="O25">
            <v>1118</v>
          </cell>
          <cell r="P25">
            <v>599</v>
          </cell>
          <cell r="Q25">
            <v>289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255</v>
          </cell>
          <cell r="W25">
            <v>8992</v>
          </cell>
          <cell r="X25">
            <v>102</v>
          </cell>
          <cell r="Y25">
            <v>88.156862745098039</v>
          </cell>
          <cell r="Z25">
            <v>43378</v>
          </cell>
          <cell r="AA25">
            <v>8343</v>
          </cell>
          <cell r="AB25">
            <v>92</v>
          </cell>
          <cell r="AC25">
            <v>88.156862745098039</v>
          </cell>
          <cell r="AD25">
            <v>180.15686274509804</v>
          </cell>
          <cell r="AE25">
            <v>17093</v>
          </cell>
          <cell r="AF25">
            <v>174.64</v>
          </cell>
        </row>
        <row r="26">
          <cell r="A26" t="str">
            <v>2015.G.0072.032</v>
          </cell>
          <cell r="B26" t="str">
            <v>S5072 032</v>
          </cell>
          <cell r="C26" t="str">
            <v>G</v>
          </cell>
          <cell r="D26" t="str">
            <v>COMUNE DI COMO</v>
          </cell>
          <cell r="E26" t="str">
            <v>Palestra Univ. 3a età via Giulini</v>
          </cell>
          <cell r="F26" t="str">
            <v>2017/229</v>
          </cell>
          <cell r="G26" t="e">
            <v>#N/A</v>
          </cell>
          <cell r="H26">
            <v>185</v>
          </cell>
          <cell r="I26" t="str">
            <v>Metano</v>
          </cell>
          <cell r="J26">
            <v>535</v>
          </cell>
          <cell r="K26">
            <v>2405</v>
          </cell>
          <cell r="L26">
            <v>3257</v>
          </cell>
          <cell r="M26">
            <v>4262</v>
          </cell>
          <cell r="N26">
            <v>3868</v>
          </cell>
          <cell r="O26">
            <v>2561</v>
          </cell>
          <cell r="P26">
            <v>1241</v>
          </cell>
          <cell r="Q26">
            <v>325</v>
          </cell>
          <cell r="R26">
            <v>118</v>
          </cell>
          <cell r="S26">
            <v>318</v>
          </cell>
          <cell r="T26">
            <v>4</v>
          </cell>
          <cell r="U26">
            <v>150</v>
          </cell>
          <cell r="V26">
            <v>606.33333333333337</v>
          </cell>
          <cell r="W26">
            <v>19650.333333333332</v>
          </cell>
          <cell r="X26">
            <v>102</v>
          </cell>
          <cell r="Y26">
            <v>192.65032679738562</v>
          </cell>
          <cell r="Z26">
            <v>43389</v>
          </cell>
          <cell r="AA26">
            <v>103417</v>
          </cell>
          <cell r="AB26">
            <v>207.1</v>
          </cell>
          <cell r="AC26">
            <v>192.65032679738562</v>
          </cell>
          <cell r="AD26">
            <v>399.75032679738558</v>
          </cell>
          <cell r="AE26">
            <v>122516</v>
          </cell>
          <cell r="AF26">
            <v>475.5</v>
          </cell>
        </row>
        <row r="27">
          <cell r="A27" t="str">
            <v>2015.G.0072.033</v>
          </cell>
          <cell r="B27" t="str">
            <v>S5072 033</v>
          </cell>
          <cell r="C27" t="str">
            <v>G</v>
          </cell>
          <cell r="D27" t="str">
            <v>COMUNE DI COMO</v>
          </cell>
          <cell r="E27" t="str">
            <v>Asilo Nido e Sc.Materna - via Giussani</v>
          </cell>
          <cell r="F27" t="str">
            <v>2017/228</v>
          </cell>
          <cell r="G27" t="e">
            <v>#N/A</v>
          </cell>
          <cell r="H27">
            <v>0</v>
          </cell>
          <cell r="I27" t="str">
            <v>Metano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102</v>
          </cell>
          <cell r="Y27">
            <v>0</v>
          </cell>
          <cell r="Z27">
            <v>43378</v>
          </cell>
          <cell r="AB27">
            <v>278.12</v>
          </cell>
          <cell r="AC27">
            <v>0</v>
          </cell>
          <cell r="AD27">
            <v>278.12</v>
          </cell>
          <cell r="AF27">
            <v>530.83000000000004</v>
          </cell>
        </row>
        <row r="28">
          <cell r="A28" t="str">
            <v>2015.G.0072.035</v>
          </cell>
          <cell r="B28" t="str">
            <v>S5072 035</v>
          </cell>
          <cell r="C28" t="str">
            <v>G</v>
          </cell>
          <cell r="D28" t="str">
            <v>COMUNE DI COMO</v>
          </cell>
          <cell r="E28" t="str">
            <v>Asilo Nido - via Longhena 10</v>
          </cell>
          <cell r="F28" t="str">
            <v>2017/207</v>
          </cell>
          <cell r="G28" t="e">
            <v>#N/A</v>
          </cell>
          <cell r="H28">
            <v>158.66</v>
          </cell>
          <cell r="I28" t="str">
            <v>Metano</v>
          </cell>
          <cell r="J28">
            <v>754</v>
          </cell>
          <cell r="K28">
            <v>1934</v>
          </cell>
          <cell r="L28">
            <v>2314</v>
          </cell>
          <cell r="M28">
            <v>4068</v>
          </cell>
          <cell r="N28">
            <v>3493</v>
          </cell>
          <cell r="O28">
            <v>2676</v>
          </cell>
          <cell r="P28">
            <v>1732</v>
          </cell>
          <cell r="Q28">
            <v>1203</v>
          </cell>
          <cell r="R28">
            <v>229</v>
          </cell>
          <cell r="S28">
            <v>119</v>
          </cell>
          <cell r="T28">
            <v>233</v>
          </cell>
          <cell r="U28">
            <v>298</v>
          </cell>
          <cell r="V28">
            <v>854.53333333333342</v>
          </cell>
          <cell r="W28">
            <v>19907.533333333333</v>
          </cell>
          <cell r="X28">
            <v>102</v>
          </cell>
          <cell r="Y28">
            <v>195.17189542483661</v>
          </cell>
          <cell r="Z28">
            <v>43378</v>
          </cell>
          <cell r="AB28">
            <v>156.88</v>
          </cell>
          <cell r="AC28">
            <v>195.17189542483661</v>
          </cell>
          <cell r="AD28">
            <v>352.05189542483663</v>
          </cell>
          <cell r="AF28">
            <v>339.81</v>
          </cell>
        </row>
        <row r="29">
          <cell r="A29" t="str">
            <v>2015.G.0072.037</v>
          </cell>
          <cell r="B29" t="str">
            <v>S5072 037</v>
          </cell>
          <cell r="C29" t="str">
            <v>G</v>
          </cell>
          <cell r="D29" t="str">
            <v>COMUNE DI COMO</v>
          </cell>
          <cell r="E29" t="str">
            <v>Asilo Nido e Sc. Materna via Zezio 27</v>
          </cell>
          <cell r="F29" t="str">
            <v>2017/257</v>
          </cell>
          <cell r="G29" t="e">
            <v>#N/A</v>
          </cell>
          <cell r="H29">
            <v>310</v>
          </cell>
          <cell r="I29" t="str">
            <v>Metano</v>
          </cell>
          <cell r="J29">
            <v>1625</v>
          </cell>
          <cell r="K29">
            <v>4165</v>
          </cell>
          <cell r="L29">
            <v>5391</v>
          </cell>
          <cell r="M29">
            <v>6800</v>
          </cell>
          <cell r="N29">
            <v>5759</v>
          </cell>
          <cell r="O29">
            <v>3450</v>
          </cell>
          <cell r="P29">
            <v>2289</v>
          </cell>
          <cell r="Q29">
            <v>1461</v>
          </cell>
          <cell r="R29">
            <v>413</v>
          </cell>
          <cell r="S29">
            <v>4076</v>
          </cell>
          <cell r="T29">
            <v>293</v>
          </cell>
          <cell r="U29">
            <v>608</v>
          </cell>
          <cell r="V29">
            <v>1841.6666666666667</v>
          </cell>
          <cell r="W29">
            <v>38171.666666666664</v>
          </cell>
          <cell r="X29">
            <v>102</v>
          </cell>
          <cell r="Y29">
            <v>374.23202614379085</v>
          </cell>
          <cell r="Z29">
            <v>43378</v>
          </cell>
          <cell r="AB29">
            <v>322.39999999999998</v>
          </cell>
          <cell r="AC29">
            <v>374.23202614379085</v>
          </cell>
          <cell r="AD29">
            <v>696.63202614379088</v>
          </cell>
          <cell r="AF29">
            <v>646.02</v>
          </cell>
        </row>
        <row r="30">
          <cell r="A30" t="str">
            <v>2015.G.0072.040</v>
          </cell>
          <cell r="B30" t="str">
            <v>S5072 040</v>
          </cell>
          <cell r="C30" t="str">
            <v>G</v>
          </cell>
          <cell r="D30" t="str">
            <v>COMUNE DI COMO</v>
          </cell>
          <cell r="E30" t="str">
            <v>Case Comunali - via Spartaco</v>
          </cell>
          <cell r="F30" t="str">
            <v>2017/252</v>
          </cell>
          <cell r="G30" t="e">
            <v>#N/A</v>
          </cell>
          <cell r="H30">
            <v>805.55555555555554</v>
          </cell>
          <cell r="I30" t="str">
            <v>Metano</v>
          </cell>
          <cell r="J30">
            <v>2856</v>
          </cell>
          <cell r="K30">
            <v>9841</v>
          </cell>
          <cell r="L30">
            <v>14458</v>
          </cell>
          <cell r="M30">
            <v>15649</v>
          </cell>
          <cell r="N30">
            <v>11692</v>
          </cell>
          <cell r="O30">
            <v>8347</v>
          </cell>
          <cell r="P30">
            <v>4473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3236.8</v>
          </cell>
          <cell r="W30">
            <v>70552.800000000003</v>
          </cell>
          <cell r="X30">
            <v>102</v>
          </cell>
          <cell r="Y30">
            <v>691.69411764705887</v>
          </cell>
          <cell r="Z30">
            <v>43389</v>
          </cell>
          <cell r="AB30">
            <v>827.26</v>
          </cell>
          <cell r="AC30">
            <v>691.69411764705887</v>
          </cell>
          <cell r="AD30">
            <v>1518.9541176470589</v>
          </cell>
          <cell r="AF30">
            <v>1499.05</v>
          </cell>
        </row>
        <row r="31">
          <cell r="A31" t="str">
            <v>2015.G.0072.046</v>
          </cell>
          <cell r="B31" t="str">
            <v>S5072 046</v>
          </cell>
          <cell r="C31" t="str">
            <v>G</v>
          </cell>
          <cell r="D31" t="str">
            <v>COMUNE DI COMO</v>
          </cell>
          <cell r="E31" t="str">
            <v>Circ. N.1 - via S.Antonino 4</v>
          </cell>
          <cell r="F31" t="str">
            <v>2017/249</v>
          </cell>
          <cell r="G31" t="e">
            <v>#N/A</v>
          </cell>
          <cell r="H31">
            <v>204.8</v>
          </cell>
          <cell r="I31" t="str">
            <v>Metano</v>
          </cell>
          <cell r="J31">
            <v>297</v>
          </cell>
          <cell r="K31">
            <v>1745</v>
          </cell>
          <cell r="L31">
            <v>3642</v>
          </cell>
          <cell r="M31">
            <v>3966</v>
          </cell>
          <cell r="N31">
            <v>3548</v>
          </cell>
          <cell r="O31">
            <v>3146</v>
          </cell>
          <cell r="P31">
            <v>1513</v>
          </cell>
          <cell r="Q31">
            <v>191</v>
          </cell>
          <cell r="R31">
            <v>181</v>
          </cell>
          <cell r="S31">
            <v>140</v>
          </cell>
          <cell r="T31">
            <v>143</v>
          </cell>
          <cell r="U31">
            <v>150</v>
          </cell>
          <cell r="V31">
            <v>336.59999999999997</v>
          </cell>
          <cell r="W31">
            <v>18998.599999999999</v>
          </cell>
          <cell r="X31">
            <v>102</v>
          </cell>
          <cell r="Y31">
            <v>186.26078431372548</v>
          </cell>
          <cell r="Z31">
            <v>43391</v>
          </cell>
          <cell r="AB31">
            <v>196.95</v>
          </cell>
          <cell r="AC31">
            <v>186.26078431372548</v>
          </cell>
          <cell r="AD31">
            <v>383.21078431372547</v>
          </cell>
          <cell r="AF31">
            <v>363.96</v>
          </cell>
        </row>
        <row r="32">
          <cell r="A32" t="str">
            <v>2015.G.0072.048</v>
          </cell>
          <cell r="B32" t="str">
            <v>S5072 048</v>
          </cell>
          <cell r="C32" t="str">
            <v>G</v>
          </cell>
          <cell r="D32" t="str">
            <v>COMUNE DI COMO</v>
          </cell>
          <cell r="E32" t="str">
            <v>Circ. N.6 - via Grandi 21</v>
          </cell>
          <cell r="F32" t="str">
            <v>2017/250</v>
          </cell>
          <cell r="G32" t="e">
            <v>#N/A</v>
          </cell>
          <cell r="H32">
            <v>74</v>
          </cell>
          <cell r="I32" t="str">
            <v>Metano</v>
          </cell>
          <cell r="J32">
            <v>172</v>
          </cell>
          <cell r="K32">
            <v>1074</v>
          </cell>
          <cell r="L32">
            <v>1586</v>
          </cell>
          <cell r="M32">
            <v>1720</v>
          </cell>
          <cell r="N32">
            <v>1329</v>
          </cell>
          <cell r="O32">
            <v>1063</v>
          </cell>
          <cell r="P32">
            <v>480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194.93333333333334</v>
          </cell>
          <cell r="W32">
            <v>7618.9333333333334</v>
          </cell>
          <cell r="X32">
            <v>102</v>
          </cell>
          <cell r="Y32">
            <v>74.695424836601305</v>
          </cell>
          <cell r="Z32">
            <v>43391</v>
          </cell>
          <cell r="AB32">
            <v>65.489999999999995</v>
          </cell>
          <cell r="AC32">
            <v>74.695424836601305</v>
          </cell>
          <cell r="AD32">
            <v>140.1854248366013</v>
          </cell>
          <cell r="AF32">
            <v>135.77000000000001</v>
          </cell>
        </row>
        <row r="33">
          <cell r="A33" t="str">
            <v>2015.G.0072.050</v>
          </cell>
          <cell r="B33" t="str">
            <v>S5072 050</v>
          </cell>
          <cell r="C33" t="str">
            <v>G</v>
          </cell>
          <cell r="D33" t="str">
            <v>COMUNE DI COMO</v>
          </cell>
          <cell r="E33" t="str">
            <v>Palestra Negretti via Partigiani 8</v>
          </cell>
          <cell r="F33" t="str">
            <v>2017/215</v>
          </cell>
          <cell r="G33" t="e">
            <v>#N/A</v>
          </cell>
          <cell r="H33">
            <v>153.36000000000001</v>
          </cell>
          <cell r="I33" t="str">
            <v>Metano</v>
          </cell>
          <cell r="J33">
            <v>507</v>
          </cell>
          <cell r="K33">
            <v>2005</v>
          </cell>
          <cell r="L33">
            <v>2595</v>
          </cell>
          <cell r="M33">
            <v>3513</v>
          </cell>
          <cell r="N33">
            <v>2775</v>
          </cell>
          <cell r="O33">
            <v>2239</v>
          </cell>
          <cell r="P33">
            <v>759</v>
          </cell>
          <cell r="Q33">
            <v>154</v>
          </cell>
          <cell r="R33">
            <v>84</v>
          </cell>
          <cell r="S33">
            <v>74</v>
          </cell>
          <cell r="T33">
            <v>108</v>
          </cell>
          <cell r="U33">
            <v>167</v>
          </cell>
          <cell r="V33">
            <v>574.6</v>
          </cell>
          <cell r="W33">
            <v>15554.6</v>
          </cell>
          <cell r="X33">
            <v>102</v>
          </cell>
          <cell r="Y33">
            <v>152.49607843137255</v>
          </cell>
          <cell r="Z33">
            <v>43390</v>
          </cell>
          <cell r="AB33">
            <v>149.05000000000001</v>
          </cell>
          <cell r="AC33">
            <v>152.49607843137255</v>
          </cell>
          <cell r="AD33">
            <v>301.54607843137256</v>
          </cell>
          <cell r="AF33">
            <v>287.14</v>
          </cell>
        </row>
        <row r="34">
          <cell r="A34" t="str">
            <v>2015.G.0072.051</v>
          </cell>
          <cell r="B34" t="str">
            <v>S5072 051</v>
          </cell>
          <cell r="C34" t="str">
            <v>G</v>
          </cell>
          <cell r="D34" t="str">
            <v>COMUNE DI COMO</v>
          </cell>
          <cell r="E34" t="str">
            <v>Piscina Sinigaglia - calcio como e palestra</v>
          </cell>
          <cell r="F34" t="str">
            <v>2017/260</v>
          </cell>
          <cell r="G34" t="e">
            <v>#N/A</v>
          </cell>
          <cell r="H34">
            <v>2226.36</v>
          </cell>
          <cell r="I34" t="str">
            <v>Metano</v>
          </cell>
          <cell r="J34">
            <v>11690</v>
          </cell>
          <cell r="K34">
            <v>20978</v>
          </cell>
          <cell r="L34">
            <v>30871</v>
          </cell>
          <cell r="M34">
            <v>35381</v>
          </cell>
          <cell r="N34">
            <v>29342</v>
          </cell>
          <cell r="O34">
            <v>25212</v>
          </cell>
          <cell r="P34">
            <v>18053</v>
          </cell>
          <cell r="Q34">
            <v>12417</v>
          </cell>
          <cell r="R34">
            <v>6576</v>
          </cell>
          <cell r="S34">
            <v>4686</v>
          </cell>
          <cell r="T34">
            <v>3893</v>
          </cell>
          <cell r="U34">
            <v>7583</v>
          </cell>
          <cell r="V34">
            <v>13248.666666666666</v>
          </cell>
          <cell r="W34">
            <v>219930.66666666666</v>
          </cell>
          <cell r="X34">
            <v>102</v>
          </cell>
          <cell r="Y34">
            <v>2156.1830065359477</v>
          </cell>
          <cell r="Z34">
            <v>43391</v>
          </cell>
          <cell r="AB34">
            <v>2279.33</v>
          </cell>
          <cell r="AC34">
            <v>2156.1830065359477</v>
          </cell>
          <cell r="AD34">
            <v>4435.5130065359481</v>
          </cell>
          <cell r="AF34">
            <v>4214</v>
          </cell>
        </row>
        <row r="35">
          <cell r="A35" t="str">
            <v>2015.G.0072.054</v>
          </cell>
          <cell r="B35" t="str">
            <v>S5072 054</v>
          </cell>
          <cell r="C35" t="str">
            <v>G</v>
          </cell>
          <cell r="D35" t="str">
            <v>COMUNE DI COMO</v>
          </cell>
          <cell r="E35" t="str">
            <v>Piscina Sc. Media Foscolo via Borgovico  193</v>
          </cell>
          <cell r="F35" t="str">
            <v>2017/208</v>
          </cell>
          <cell r="G35" t="e">
            <v>#N/A</v>
          </cell>
          <cell r="H35">
            <v>336.54</v>
          </cell>
          <cell r="I35" t="str">
            <v>Metano</v>
          </cell>
          <cell r="J35">
            <v>2869</v>
          </cell>
          <cell r="K35">
            <v>3986</v>
          </cell>
          <cell r="L35">
            <v>5135</v>
          </cell>
          <cell r="M35">
            <v>5878</v>
          </cell>
          <cell r="N35">
            <v>4345</v>
          </cell>
          <cell r="O35">
            <v>3875</v>
          </cell>
          <cell r="P35">
            <v>2930</v>
          </cell>
          <cell r="Q35">
            <v>2816</v>
          </cell>
          <cell r="R35">
            <v>1499</v>
          </cell>
          <cell r="S35">
            <v>1191</v>
          </cell>
          <cell r="T35">
            <v>1769</v>
          </cell>
          <cell r="U35">
            <v>2286</v>
          </cell>
          <cell r="V35">
            <v>3251.5333333333333</v>
          </cell>
          <cell r="W35">
            <v>41830.533333333333</v>
          </cell>
          <cell r="X35">
            <v>102</v>
          </cell>
          <cell r="Y35">
            <v>410.10326797385619</v>
          </cell>
          <cell r="Z35">
            <v>43389</v>
          </cell>
          <cell r="AB35">
            <v>350.87</v>
          </cell>
          <cell r="AC35">
            <v>410.10326797385619</v>
          </cell>
          <cell r="AD35">
            <v>760.9732679738562</v>
          </cell>
          <cell r="AF35">
            <v>690.73</v>
          </cell>
        </row>
        <row r="36">
          <cell r="A36" t="str">
            <v>2015.G.0072.055</v>
          </cell>
          <cell r="B36" t="str">
            <v>S5072 055</v>
          </cell>
          <cell r="C36" t="str">
            <v>G</v>
          </cell>
          <cell r="D36" t="str">
            <v>COMUNE DI COMO</v>
          </cell>
          <cell r="E36" t="str">
            <v>Scuola Media Foscolo - via Borgovico 193</v>
          </cell>
          <cell r="F36" t="str">
            <v>2017/209</v>
          </cell>
          <cell r="G36" t="e">
            <v>#N/A</v>
          </cell>
          <cell r="H36">
            <v>330</v>
          </cell>
          <cell r="I36" t="str">
            <v>Metano</v>
          </cell>
          <cell r="J36">
            <v>948</v>
          </cell>
          <cell r="K36">
            <v>5030</v>
          </cell>
          <cell r="L36">
            <v>7628</v>
          </cell>
          <cell r="M36">
            <v>8908</v>
          </cell>
          <cell r="N36">
            <v>6575</v>
          </cell>
          <cell r="O36">
            <v>4706</v>
          </cell>
          <cell r="P36">
            <v>2329</v>
          </cell>
          <cell r="Q36">
            <v>5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1074.4000000000001</v>
          </cell>
          <cell r="W36">
            <v>37203.4</v>
          </cell>
          <cell r="X36">
            <v>102</v>
          </cell>
          <cell r="Y36">
            <v>364.73921568627452</v>
          </cell>
          <cell r="Z36">
            <v>43385</v>
          </cell>
          <cell r="AB36">
            <v>330.1</v>
          </cell>
          <cell r="AC36">
            <v>364.73921568627452</v>
          </cell>
          <cell r="AD36">
            <v>694.83921568627454</v>
          </cell>
          <cell r="AF36">
            <v>674.33</v>
          </cell>
        </row>
        <row r="37">
          <cell r="A37" t="str">
            <v>2015.G.0072.056</v>
          </cell>
          <cell r="B37" t="str">
            <v>S5072 056</v>
          </cell>
          <cell r="C37" t="str">
            <v>G</v>
          </cell>
          <cell r="D37" t="str">
            <v>COMUNE DI COMO</v>
          </cell>
          <cell r="E37" t="str">
            <v>Scuola Elementare e Media - piazza IV Novembre 1</v>
          </cell>
          <cell r="F37" t="str">
            <v>2017/217</v>
          </cell>
          <cell r="G37" t="e">
            <v>#N/A</v>
          </cell>
          <cell r="H37">
            <v>601.75</v>
          </cell>
          <cell r="I37" t="str">
            <v>Metano</v>
          </cell>
          <cell r="J37">
            <v>1595</v>
          </cell>
          <cell r="K37">
            <v>5563</v>
          </cell>
          <cell r="L37">
            <v>10385</v>
          </cell>
          <cell r="M37">
            <v>12605</v>
          </cell>
          <cell r="N37">
            <v>9687</v>
          </cell>
          <cell r="O37">
            <v>7147</v>
          </cell>
          <cell r="P37">
            <v>4054</v>
          </cell>
          <cell r="Q37">
            <v>723</v>
          </cell>
          <cell r="R37">
            <v>0</v>
          </cell>
          <cell r="S37">
            <v>371</v>
          </cell>
          <cell r="T37">
            <v>345</v>
          </cell>
          <cell r="U37">
            <v>498</v>
          </cell>
          <cell r="V37">
            <v>1807.6666666666665</v>
          </cell>
          <cell r="W37">
            <v>54780.666666666664</v>
          </cell>
          <cell r="X37">
            <v>102</v>
          </cell>
          <cell r="Y37">
            <v>537.06535947712416</v>
          </cell>
          <cell r="Z37">
            <v>43385</v>
          </cell>
          <cell r="AB37">
            <v>603.13</v>
          </cell>
          <cell r="AC37">
            <v>537.06535947712416</v>
          </cell>
          <cell r="AD37">
            <v>1140.1953594771242</v>
          </cell>
          <cell r="AF37">
            <v>1123.48</v>
          </cell>
        </row>
        <row r="38">
          <cell r="A38" t="str">
            <v>2015.G.0072.057</v>
          </cell>
          <cell r="B38" t="str">
            <v>S5072 057</v>
          </cell>
          <cell r="C38" t="str">
            <v>G</v>
          </cell>
          <cell r="D38" t="str">
            <v>COMUNE DI COMO</v>
          </cell>
          <cell r="E38" t="str">
            <v>Sc. Elementare e Mat. via Acquanera 15</v>
          </cell>
          <cell r="F38" t="str">
            <v>2017/265</v>
          </cell>
          <cell r="G38" t="e">
            <v>#N/A</v>
          </cell>
          <cell r="H38">
            <v>156.1</v>
          </cell>
          <cell r="I38" t="str">
            <v>Metano</v>
          </cell>
          <cell r="J38">
            <v>1149</v>
          </cell>
          <cell r="K38">
            <v>1802</v>
          </cell>
          <cell r="L38">
            <v>2594</v>
          </cell>
          <cell r="M38">
            <v>3335</v>
          </cell>
          <cell r="N38">
            <v>2482</v>
          </cell>
          <cell r="O38">
            <v>2167</v>
          </cell>
          <cell r="P38">
            <v>1216</v>
          </cell>
          <cell r="Q38">
            <v>198</v>
          </cell>
          <cell r="R38">
            <v>31</v>
          </cell>
          <cell r="S38">
            <v>0</v>
          </cell>
          <cell r="T38">
            <v>0</v>
          </cell>
          <cell r="U38">
            <v>135</v>
          </cell>
          <cell r="V38">
            <v>1302.2</v>
          </cell>
          <cell r="W38">
            <v>16411.2</v>
          </cell>
          <cell r="X38">
            <v>102</v>
          </cell>
          <cell r="Y38">
            <v>160.89411764705883</v>
          </cell>
          <cell r="Z38">
            <v>43378</v>
          </cell>
          <cell r="AB38">
            <v>156.5</v>
          </cell>
          <cell r="AC38">
            <v>160.89411764705883</v>
          </cell>
          <cell r="AD38">
            <v>317.39411764705881</v>
          </cell>
          <cell r="AF38">
            <v>305.08</v>
          </cell>
        </row>
        <row r="39">
          <cell r="A39" t="str">
            <v>2015.G.0072.059</v>
          </cell>
          <cell r="B39" t="str">
            <v>S5072 059</v>
          </cell>
          <cell r="C39" t="str">
            <v>G</v>
          </cell>
          <cell r="D39" t="str">
            <v>COMUNE DI COMO</v>
          </cell>
          <cell r="E39" t="str">
            <v>Sc. Elementare e Materna via Nicolodi 7</v>
          </cell>
          <cell r="F39" t="str">
            <v>2017/261</v>
          </cell>
          <cell r="G39" t="e">
            <v>#N/A</v>
          </cell>
          <cell r="H39">
            <v>239.97</v>
          </cell>
          <cell r="I39" t="str">
            <v>Metano</v>
          </cell>
          <cell r="J39">
            <v>804</v>
          </cell>
          <cell r="K39">
            <v>2467</v>
          </cell>
          <cell r="L39">
            <v>3646</v>
          </cell>
          <cell r="M39">
            <v>4401</v>
          </cell>
          <cell r="N39">
            <v>4082</v>
          </cell>
          <cell r="O39">
            <v>3420</v>
          </cell>
          <cell r="P39">
            <v>2044</v>
          </cell>
          <cell r="Q39">
            <v>814</v>
          </cell>
          <cell r="R39">
            <v>1</v>
          </cell>
          <cell r="S39">
            <v>0</v>
          </cell>
          <cell r="T39">
            <v>0</v>
          </cell>
          <cell r="U39">
            <v>0</v>
          </cell>
          <cell r="V39">
            <v>911.2</v>
          </cell>
          <cell r="W39">
            <v>22590.2</v>
          </cell>
          <cell r="X39">
            <v>102</v>
          </cell>
          <cell r="Y39">
            <v>221.47254901960784</v>
          </cell>
          <cell r="Z39">
            <v>43378</v>
          </cell>
          <cell r="AB39">
            <v>240.05</v>
          </cell>
          <cell r="AC39">
            <v>221.47254901960784</v>
          </cell>
          <cell r="AD39">
            <v>461.52254901960782</v>
          </cell>
          <cell r="AF39">
            <v>455.1</v>
          </cell>
        </row>
        <row r="40">
          <cell r="A40" t="str">
            <v>2015.G.0072.060</v>
          </cell>
          <cell r="B40" t="str">
            <v>S5072 060</v>
          </cell>
          <cell r="C40" t="str">
            <v>G</v>
          </cell>
          <cell r="D40" t="str">
            <v>COMUNE DI COMO</v>
          </cell>
          <cell r="E40" t="str">
            <v>Sc. Elementare e Media - Via Pacinotti</v>
          </cell>
          <cell r="F40" t="str">
            <v>2017/263</v>
          </cell>
          <cell r="G40" t="e">
            <v>#N/A</v>
          </cell>
          <cell r="H40">
            <v>57.53</v>
          </cell>
          <cell r="I40" t="str">
            <v>Metano</v>
          </cell>
          <cell r="J40">
            <v>161</v>
          </cell>
          <cell r="K40">
            <v>725</v>
          </cell>
          <cell r="L40">
            <v>1050</v>
          </cell>
          <cell r="M40">
            <v>1404</v>
          </cell>
          <cell r="N40">
            <v>1031</v>
          </cell>
          <cell r="O40">
            <v>754</v>
          </cell>
          <cell r="P40">
            <v>467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182.46666666666667</v>
          </cell>
          <cell r="W40">
            <v>5774.4666666666662</v>
          </cell>
          <cell r="X40">
            <v>102</v>
          </cell>
          <cell r="Y40">
            <v>56.612418300653587</v>
          </cell>
          <cell r="Z40">
            <v>43385</v>
          </cell>
          <cell r="AB40">
            <v>61.55</v>
          </cell>
          <cell r="AC40">
            <v>56.612418300653587</v>
          </cell>
          <cell r="AD40">
            <v>118.16241830065358</v>
          </cell>
          <cell r="AF40">
            <v>116.52</v>
          </cell>
        </row>
        <row r="41">
          <cell r="A41" t="str">
            <v>2015.G.0072.061</v>
          </cell>
          <cell r="B41" t="str">
            <v>S5072 061</v>
          </cell>
          <cell r="C41" t="str">
            <v>G</v>
          </cell>
          <cell r="D41" t="str">
            <v>COMUNE DI COMO</v>
          </cell>
          <cell r="E41" t="str">
            <v>Scuola Elementare via Pio XI</v>
          </cell>
          <cell r="F41" t="str">
            <v>2017/247</v>
          </cell>
          <cell r="G41" t="e">
            <v>#N/A</v>
          </cell>
          <cell r="H41">
            <v>363.88888888888886</v>
          </cell>
          <cell r="I41" t="str">
            <v>Metano</v>
          </cell>
          <cell r="J41">
            <v>1299</v>
          </cell>
          <cell r="K41">
            <v>4242</v>
          </cell>
          <cell r="L41">
            <v>5227</v>
          </cell>
          <cell r="M41">
            <v>6584</v>
          </cell>
          <cell r="N41">
            <v>5908</v>
          </cell>
          <cell r="O41">
            <v>4661</v>
          </cell>
          <cell r="P41">
            <v>2913</v>
          </cell>
          <cell r="Q41">
            <v>1001</v>
          </cell>
          <cell r="R41">
            <v>1078</v>
          </cell>
          <cell r="S41">
            <v>687</v>
          </cell>
          <cell r="T41">
            <v>719</v>
          </cell>
          <cell r="U41">
            <v>830</v>
          </cell>
          <cell r="V41">
            <v>1472.2</v>
          </cell>
          <cell r="W41">
            <v>36621.199999999997</v>
          </cell>
          <cell r="X41">
            <v>102</v>
          </cell>
          <cell r="Y41">
            <v>359.03137254901958</v>
          </cell>
          <cell r="Z41">
            <v>43385</v>
          </cell>
          <cell r="AB41">
            <v>366.03</v>
          </cell>
          <cell r="AC41">
            <v>359.03137254901958</v>
          </cell>
          <cell r="AD41">
            <v>725.06137254901955</v>
          </cell>
          <cell r="AF41">
            <v>706.31</v>
          </cell>
        </row>
        <row r="42">
          <cell r="A42" t="str">
            <v>2015.G.0072.062</v>
          </cell>
          <cell r="B42" t="str">
            <v>S5072 062</v>
          </cell>
          <cell r="C42" t="str">
            <v>G</v>
          </cell>
          <cell r="D42" t="str">
            <v>COMUNE DI COMO</v>
          </cell>
          <cell r="E42" t="str">
            <v>Scuola Elementare - via Viganò/via Magenta</v>
          </cell>
          <cell r="F42" t="str">
            <v>2017/220</v>
          </cell>
          <cell r="G42" t="e">
            <v>#N/A</v>
          </cell>
          <cell r="H42">
            <v>473.16</v>
          </cell>
          <cell r="I42" t="str">
            <v>Metano</v>
          </cell>
          <cell r="J42">
            <v>1681</v>
          </cell>
          <cell r="K42">
            <v>5633</v>
          </cell>
          <cell r="L42">
            <v>8289</v>
          </cell>
          <cell r="M42">
            <v>9774</v>
          </cell>
          <cell r="N42">
            <v>8149</v>
          </cell>
          <cell r="O42">
            <v>6210</v>
          </cell>
          <cell r="P42">
            <v>3818</v>
          </cell>
          <cell r="Q42">
            <v>257</v>
          </cell>
          <cell r="R42">
            <v>4</v>
          </cell>
          <cell r="S42">
            <v>0</v>
          </cell>
          <cell r="T42">
            <v>0</v>
          </cell>
          <cell r="U42">
            <v>13</v>
          </cell>
          <cell r="V42">
            <v>1905.1333333333332</v>
          </cell>
          <cell r="W42">
            <v>45733.133333333331</v>
          </cell>
          <cell r="X42">
            <v>102</v>
          </cell>
          <cell r="Y42">
            <v>448.36405228758167</v>
          </cell>
          <cell r="Z42">
            <v>43391</v>
          </cell>
          <cell r="AB42">
            <v>476.6</v>
          </cell>
          <cell r="AC42">
            <v>448.36405228758167</v>
          </cell>
          <cell r="AD42">
            <v>924.96405228758169</v>
          </cell>
          <cell r="AF42">
            <v>898.88</v>
          </cell>
        </row>
        <row r="43">
          <cell r="A43" t="str">
            <v>2015.G.0072.064</v>
          </cell>
          <cell r="B43" t="str">
            <v>S5072 064</v>
          </cell>
          <cell r="C43" t="str">
            <v>G</v>
          </cell>
          <cell r="D43" t="str">
            <v>COMUNE DI COMO</v>
          </cell>
          <cell r="E43" t="str">
            <v>Scuola Materna - via Briantea</v>
          </cell>
          <cell r="F43" t="str">
            <v>2017/210</v>
          </cell>
          <cell r="G43" t="e">
            <v>#N/A</v>
          </cell>
          <cell r="H43">
            <v>196.94</v>
          </cell>
          <cell r="I43" t="str">
            <v>Metano</v>
          </cell>
          <cell r="J43">
            <v>740</v>
          </cell>
          <cell r="K43">
            <v>3276</v>
          </cell>
          <cell r="L43">
            <v>5111</v>
          </cell>
          <cell r="M43">
            <v>5542</v>
          </cell>
          <cell r="N43">
            <v>4103</v>
          </cell>
          <cell r="O43">
            <v>2797</v>
          </cell>
          <cell r="P43">
            <v>1526</v>
          </cell>
          <cell r="Q43">
            <v>730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838.66666666666663</v>
          </cell>
          <cell r="W43">
            <v>24663.666666666668</v>
          </cell>
          <cell r="X43">
            <v>102</v>
          </cell>
          <cell r="Y43">
            <v>241.80065359477126</v>
          </cell>
          <cell r="Z43">
            <v>43378</v>
          </cell>
          <cell r="AB43">
            <v>197.21</v>
          </cell>
          <cell r="AC43">
            <v>241.80065359477126</v>
          </cell>
          <cell r="AD43">
            <v>439.01065359477127</v>
          </cell>
          <cell r="AF43">
            <v>430.8</v>
          </cell>
        </row>
        <row r="44">
          <cell r="A44" t="str">
            <v>2015.G.0072.065</v>
          </cell>
          <cell r="B44" t="str">
            <v>S5072 065</v>
          </cell>
          <cell r="C44" t="str">
            <v>G</v>
          </cell>
          <cell r="D44" t="str">
            <v>COMUNE DI COMO</v>
          </cell>
          <cell r="E44" t="str">
            <v xml:space="preserve">Scuola Materna - via D'Annunzio </v>
          </cell>
          <cell r="F44" t="str">
            <v>2017/226</v>
          </cell>
          <cell r="G44" t="e">
            <v>#N/A</v>
          </cell>
          <cell r="H44">
            <v>93.29</v>
          </cell>
          <cell r="I44" t="str">
            <v>Metano</v>
          </cell>
          <cell r="J44">
            <v>393</v>
          </cell>
          <cell r="K44">
            <v>1275</v>
          </cell>
          <cell r="L44">
            <v>1754</v>
          </cell>
          <cell r="M44">
            <v>1970</v>
          </cell>
          <cell r="N44">
            <v>1719</v>
          </cell>
          <cell r="O44">
            <v>1694</v>
          </cell>
          <cell r="P44">
            <v>699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445.4</v>
          </cell>
          <cell r="W44">
            <v>9949.4</v>
          </cell>
          <cell r="X44">
            <v>102</v>
          </cell>
          <cell r="Y44">
            <v>97.543137254901964</v>
          </cell>
          <cell r="Z44">
            <v>43378</v>
          </cell>
          <cell r="AA44">
            <v>38512</v>
          </cell>
          <cell r="AB44">
            <v>94.33</v>
          </cell>
          <cell r="AC44">
            <v>97.543137254901964</v>
          </cell>
          <cell r="AD44">
            <v>191.87313725490196</v>
          </cell>
          <cell r="AE44">
            <v>46554</v>
          </cell>
          <cell r="AF44">
            <v>171.84</v>
          </cell>
        </row>
        <row r="45">
          <cell r="A45" t="str">
            <v>2015.G.0072.066</v>
          </cell>
          <cell r="B45" t="str">
            <v>S5072 066</v>
          </cell>
          <cell r="C45" t="str">
            <v>G</v>
          </cell>
          <cell r="D45" t="str">
            <v>COMUNE DI COMO</v>
          </cell>
          <cell r="E45" t="str">
            <v>Suola Materna - via Majocchi</v>
          </cell>
          <cell r="F45" t="str">
            <v>2017/230</v>
          </cell>
          <cell r="G45" t="e">
            <v>#N/A</v>
          </cell>
          <cell r="H45">
            <v>122.49</v>
          </cell>
          <cell r="I45" t="str">
            <v>Metano</v>
          </cell>
          <cell r="J45">
            <v>524</v>
          </cell>
          <cell r="K45">
            <v>1532</v>
          </cell>
          <cell r="L45">
            <v>1889</v>
          </cell>
          <cell r="M45">
            <v>2741</v>
          </cell>
          <cell r="N45">
            <v>1910</v>
          </cell>
          <cell r="O45">
            <v>1608</v>
          </cell>
          <cell r="P45">
            <v>1072</v>
          </cell>
          <cell r="Q45">
            <v>640</v>
          </cell>
          <cell r="R45">
            <v>180</v>
          </cell>
          <cell r="S45">
            <v>110</v>
          </cell>
          <cell r="T45">
            <v>3</v>
          </cell>
          <cell r="U45">
            <v>216</v>
          </cell>
          <cell r="V45">
            <v>593.86666666666667</v>
          </cell>
          <cell r="W45">
            <v>13018.866666666667</v>
          </cell>
          <cell r="X45">
            <v>102</v>
          </cell>
          <cell r="Y45">
            <v>127.6359477124183</v>
          </cell>
          <cell r="Z45">
            <v>43378</v>
          </cell>
          <cell r="AA45">
            <v>52436</v>
          </cell>
          <cell r="AB45">
            <v>123.28</v>
          </cell>
          <cell r="AC45">
            <v>127.6359477124183</v>
          </cell>
          <cell r="AD45">
            <v>250.9159477124183</v>
          </cell>
          <cell r="AE45">
            <v>65018</v>
          </cell>
          <cell r="AF45">
            <v>244.05</v>
          </cell>
        </row>
        <row r="46">
          <cell r="A46" t="str">
            <v>2015.G.0072.067</v>
          </cell>
          <cell r="B46" t="str">
            <v>S5072 067</v>
          </cell>
          <cell r="C46" t="str">
            <v>G</v>
          </cell>
          <cell r="D46" t="str">
            <v>COMUNE DI COMO</v>
          </cell>
          <cell r="E46" t="str">
            <v>Scuola Materna - via Palma 1</v>
          </cell>
          <cell r="F46" t="str">
            <v>2017/231</v>
          </cell>
          <cell r="G46" t="e">
            <v>#N/A</v>
          </cell>
          <cell r="H46">
            <v>381.94444444444446</v>
          </cell>
          <cell r="I46" t="str">
            <v>Metano</v>
          </cell>
          <cell r="J46">
            <v>2627</v>
          </cell>
          <cell r="K46">
            <v>3850</v>
          </cell>
          <cell r="L46">
            <v>4640</v>
          </cell>
          <cell r="M46">
            <v>6612</v>
          </cell>
          <cell r="N46">
            <v>4847</v>
          </cell>
          <cell r="O46">
            <v>3853</v>
          </cell>
          <cell r="P46">
            <v>2620</v>
          </cell>
          <cell r="Q46">
            <v>1831</v>
          </cell>
          <cell r="R46">
            <v>1817</v>
          </cell>
          <cell r="S46">
            <v>968</v>
          </cell>
          <cell r="T46">
            <v>615</v>
          </cell>
          <cell r="U46">
            <v>1452</v>
          </cell>
          <cell r="V46">
            <v>2977.2666666666669</v>
          </cell>
          <cell r="W46">
            <v>38709.26666666667</v>
          </cell>
          <cell r="X46">
            <v>102</v>
          </cell>
          <cell r="Y46">
            <v>379.502614379085</v>
          </cell>
          <cell r="Z46">
            <v>43378</v>
          </cell>
          <cell r="AA46">
            <v>52875</v>
          </cell>
          <cell r="AB46">
            <v>427.61</v>
          </cell>
          <cell r="AC46">
            <v>379.502614379085</v>
          </cell>
          <cell r="AD46">
            <v>807.11261437908502</v>
          </cell>
          <cell r="AE46">
            <v>87726</v>
          </cell>
          <cell r="AF46">
            <v>773.6</v>
          </cell>
        </row>
        <row r="47">
          <cell r="A47" t="str">
            <v>2015.G.0072.068</v>
          </cell>
          <cell r="B47" t="str">
            <v>S5072 068</v>
          </cell>
          <cell r="C47" t="str">
            <v>G</v>
          </cell>
          <cell r="D47" t="str">
            <v>COMUNE DI COMO</v>
          </cell>
          <cell r="E47" t="str">
            <v>Scuola Media ed Elementare - via Brambilla 49</v>
          </cell>
          <cell r="F47" t="str">
            <v>2017/224</v>
          </cell>
          <cell r="G47" t="e">
            <v>#N/A</v>
          </cell>
          <cell r="H47">
            <v>685.58</v>
          </cell>
          <cell r="I47" t="str">
            <v>Metano</v>
          </cell>
          <cell r="J47">
            <v>1756</v>
          </cell>
          <cell r="K47">
            <v>6570</v>
          </cell>
          <cell r="L47">
            <v>10037</v>
          </cell>
          <cell r="M47">
            <v>11803</v>
          </cell>
          <cell r="N47">
            <v>10951</v>
          </cell>
          <cell r="O47">
            <v>7562</v>
          </cell>
          <cell r="P47">
            <v>4313</v>
          </cell>
          <cell r="Q47">
            <v>565</v>
          </cell>
          <cell r="R47">
            <v>350</v>
          </cell>
          <cell r="S47">
            <v>272</v>
          </cell>
          <cell r="T47">
            <v>275</v>
          </cell>
          <cell r="U47">
            <v>379</v>
          </cell>
          <cell r="V47">
            <v>1990.1333333333334</v>
          </cell>
          <cell r="W47">
            <v>56823.133333333331</v>
          </cell>
          <cell r="X47">
            <v>102</v>
          </cell>
          <cell r="Y47">
            <v>557.08954248366013</v>
          </cell>
          <cell r="Z47">
            <v>43385</v>
          </cell>
          <cell r="AA47">
            <v>134088</v>
          </cell>
          <cell r="AB47">
            <v>686.59</v>
          </cell>
          <cell r="AC47">
            <v>557.08954248366013</v>
          </cell>
          <cell r="AD47">
            <v>1243.67954248366</v>
          </cell>
          <cell r="AE47">
            <v>189024</v>
          </cell>
          <cell r="AF47">
            <v>1210.17</v>
          </cell>
        </row>
        <row r="48">
          <cell r="A48" t="str">
            <v>2015.G.0072.069</v>
          </cell>
          <cell r="B48" t="str">
            <v>S5072 069</v>
          </cell>
          <cell r="C48" t="str">
            <v>G</v>
          </cell>
          <cell r="D48" t="str">
            <v>COMUNE DI COMO</v>
          </cell>
          <cell r="E48" t="str">
            <v>Scuola Media Don Milani via Deledda 2</v>
          </cell>
          <cell r="F48" t="str">
            <v>2017/227</v>
          </cell>
          <cell r="G48" t="e">
            <v>#N/A</v>
          </cell>
          <cell r="H48">
            <v>431</v>
          </cell>
          <cell r="I48" t="str">
            <v>Metano</v>
          </cell>
          <cell r="J48">
            <v>1498</v>
          </cell>
          <cell r="K48">
            <v>4772</v>
          </cell>
          <cell r="L48">
            <v>6965</v>
          </cell>
          <cell r="M48">
            <v>7788</v>
          </cell>
          <cell r="N48">
            <v>6173</v>
          </cell>
          <cell r="O48">
            <v>6082</v>
          </cell>
          <cell r="P48">
            <v>3569</v>
          </cell>
          <cell r="Q48">
            <v>821</v>
          </cell>
          <cell r="R48">
            <v>211</v>
          </cell>
          <cell r="S48">
            <v>540</v>
          </cell>
          <cell r="T48">
            <v>566</v>
          </cell>
          <cell r="U48">
            <v>633</v>
          </cell>
          <cell r="V48">
            <v>1697.7333333333336</v>
          </cell>
          <cell r="W48">
            <v>41315.733333333337</v>
          </cell>
          <cell r="X48">
            <v>102</v>
          </cell>
          <cell r="Y48">
            <v>405.05620915032682</v>
          </cell>
          <cell r="Z48">
            <v>43390</v>
          </cell>
          <cell r="AA48">
            <v>48536</v>
          </cell>
          <cell r="AB48">
            <v>460.28</v>
          </cell>
          <cell r="AC48">
            <v>405.05620915032682</v>
          </cell>
          <cell r="AD48">
            <v>865.33620915032679</v>
          </cell>
          <cell r="AE48">
            <v>88469</v>
          </cell>
          <cell r="AF48">
            <v>840.15</v>
          </cell>
        </row>
        <row r="49">
          <cell r="A49" t="str">
            <v>2015.G.0072.070</v>
          </cell>
          <cell r="B49" t="str">
            <v>S5072 070</v>
          </cell>
          <cell r="C49" t="str">
            <v>G</v>
          </cell>
          <cell r="D49" t="str">
            <v>COMUNE DI COMO</v>
          </cell>
          <cell r="E49" t="str">
            <v>Scuola Media ed Elementare Via Friuli 10</v>
          </cell>
          <cell r="F49" t="str">
            <v>2017/222</v>
          </cell>
          <cell r="G49" t="e">
            <v>#N/A</v>
          </cell>
          <cell r="H49">
            <v>432.6</v>
          </cell>
          <cell r="I49" t="str">
            <v>Metano</v>
          </cell>
          <cell r="J49">
            <v>1565</v>
          </cell>
          <cell r="K49">
            <v>4223</v>
          </cell>
          <cell r="L49">
            <v>6773</v>
          </cell>
          <cell r="M49">
            <v>8519</v>
          </cell>
          <cell r="N49">
            <v>6139</v>
          </cell>
          <cell r="O49">
            <v>4205</v>
          </cell>
          <cell r="P49">
            <v>2504</v>
          </cell>
          <cell r="Q49">
            <v>960</v>
          </cell>
          <cell r="R49">
            <v>0</v>
          </cell>
          <cell r="S49">
            <v>511</v>
          </cell>
          <cell r="T49">
            <v>530</v>
          </cell>
          <cell r="U49">
            <v>578</v>
          </cell>
          <cell r="V49">
            <v>1773.6666666666667</v>
          </cell>
          <cell r="W49">
            <v>38280.666666666664</v>
          </cell>
          <cell r="X49">
            <v>102</v>
          </cell>
          <cell r="Y49">
            <v>375.30065359477123</v>
          </cell>
          <cell r="Z49">
            <v>43385</v>
          </cell>
          <cell r="AA49">
            <v>253049</v>
          </cell>
          <cell r="AB49">
            <v>434.75</v>
          </cell>
          <cell r="AC49">
            <v>375.30065359477123</v>
          </cell>
          <cell r="AD49">
            <v>810.05065359477123</v>
          </cell>
          <cell r="AE49">
            <v>290108</v>
          </cell>
          <cell r="AF49">
            <v>791.04</v>
          </cell>
        </row>
        <row r="50">
          <cell r="A50" t="str">
            <v>2015.G.0072.071</v>
          </cell>
          <cell r="B50" t="str">
            <v>S5072 071</v>
          </cell>
          <cell r="C50" t="str">
            <v>G</v>
          </cell>
          <cell r="D50" t="str">
            <v>COMUNE DI COMO</v>
          </cell>
          <cell r="E50" t="str">
            <v>Scuola Media Parini via Gramsci 6</v>
          </cell>
          <cell r="F50" t="str">
            <v>2017/241</v>
          </cell>
          <cell r="G50" t="e">
            <v>#N/A</v>
          </cell>
          <cell r="H50">
            <v>591.4</v>
          </cell>
          <cell r="I50" t="str">
            <v>Metano</v>
          </cell>
          <cell r="J50">
            <v>1166</v>
          </cell>
          <cell r="K50">
            <v>6684</v>
          </cell>
          <cell r="L50">
            <v>10948</v>
          </cell>
          <cell r="M50">
            <v>12814</v>
          </cell>
          <cell r="N50">
            <v>10031</v>
          </cell>
          <cell r="O50">
            <v>7436</v>
          </cell>
          <cell r="P50">
            <v>4097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1321.4666666666667</v>
          </cell>
          <cell r="W50">
            <v>54497.466666666667</v>
          </cell>
          <cell r="X50">
            <v>102</v>
          </cell>
          <cell r="Y50">
            <v>534.28888888888889</v>
          </cell>
          <cell r="Z50">
            <v>43390</v>
          </cell>
          <cell r="AA50">
            <v>64348</v>
          </cell>
          <cell r="AB50">
            <v>608.42999999999995</v>
          </cell>
          <cell r="AC50">
            <v>534.28888888888889</v>
          </cell>
          <cell r="AD50">
            <v>1142.7188888888888</v>
          </cell>
          <cell r="AE50">
            <v>117465</v>
          </cell>
          <cell r="AF50">
            <v>1121.44</v>
          </cell>
        </row>
        <row r="51">
          <cell r="A51" t="str">
            <v>2015.G.0072.073</v>
          </cell>
          <cell r="B51" t="str">
            <v>S5072 073</v>
          </cell>
          <cell r="C51" t="str">
            <v>G</v>
          </cell>
          <cell r="D51" t="str">
            <v>COMUNE DI COMO</v>
          </cell>
          <cell r="E51" t="str">
            <v>Sc. Media Via Picchi 6</v>
          </cell>
          <cell r="F51" t="str">
            <v>2017/238</v>
          </cell>
          <cell r="G51" t="e">
            <v>#N/A</v>
          </cell>
          <cell r="H51">
            <v>419.12</v>
          </cell>
          <cell r="I51" t="str">
            <v>Metano</v>
          </cell>
          <cell r="J51">
            <v>1705</v>
          </cell>
          <cell r="K51">
            <v>5756</v>
          </cell>
          <cell r="L51">
            <v>6967</v>
          </cell>
          <cell r="M51">
            <v>7660</v>
          </cell>
          <cell r="N51">
            <v>5584</v>
          </cell>
          <cell r="O51">
            <v>4405</v>
          </cell>
          <cell r="P51">
            <v>3266</v>
          </cell>
          <cell r="Q51">
            <v>616</v>
          </cell>
          <cell r="R51">
            <v>453</v>
          </cell>
          <cell r="S51">
            <v>280</v>
          </cell>
          <cell r="T51">
            <v>0</v>
          </cell>
          <cell r="U51">
            <v>299</v>
          </cell>
          <cell r="V51">
            <v>1932.3333333333333</v>
          </cell>
          <cell r="W51">
            <v>38923.333333333336</v>
          </cell>
          <cell r="X51">
            <v>102</v>
          </cell>
          <cell r="Y51">
            <v>381.60130718954252</v>
          </cell>
          <cell r="Z51">
            <v>43385</v>
          </cell>
          <cell r="AA51">
            <v>192032</v>
          </cell>
          <cell r="AB51">
            <v>420.64</v>
          </cell>
          <cell r="AC51">
            <v>381.60130718954252</v>
          </cell>
          <cell r="AD51">
            <v>802.24130718954257</v>
          </cell>
          <cell r="AE51">
            <v>229029</v>
          </cell>
          <cell r="AF51">
            <v>787.02</v>
          </cell>
        </row>
        <row r="52">
          <cell r="A52" t="str">
            <v>2015.G.0072.074</v>
          </cell>
          <cell r="B52" t="str">
            <v>S5072 074</v>
          </cell>
          <cell r="C52" t="str">
            <v>G</v>
          </cell>
          <cell r="D52" t="str">
            <v>COMUNE DI COMO</v>
          </cell>
          <cell r="E52" t="str">
            <v>Scuola Media ed Elementare Via Spallanzani</v>
          </cell>
          <cell r="F52" t="str">
            <v>2017/240</v>
          </cell>
          <cell r="G52" t="e">
            <v>#N/A</v>
          </cell>
          <cell r="H52">
            <v>418.05</v>
          </cell>
          <cell r="I52" t="str">
            <v>Metano</v>
          </cell>
          <cell r="J52">
            <v>1970</v>
          </cell>
          <cell r="K52">
            <v>4953</v>
          </cell>
          <cell r="L52">
            <v>8209</v>
          </cell>
          <cell r="M52">
            <v>9586</v>
          </cell>
          <cell r="N52">
            <v>7570</v>
          </cell>
          <cell r="O52">
            <v>5773</v>
          </cell>
          <cell r="P52">
            <v>3543</v>
          </cell>
          <cell r="Q52">
            <v>643</v>
          </cell>
          <cell r="R52">
            <v>460</v>
          </cell>
          <cell r="S52">
            <v>473</v>
          </cell>
          <cell r="T52">
            <v>137</v>
          </cell>
          <cell r="U52">
            <v>556</v>
          </cell>
          <cell r="V52">
            <v>2232.6666666666665</v>
          </cell>
          <cell r="W52">
            <v>46105.666666666664</v>
          </cell>
          <cell r="X52">
            <v>102</v>
          </cell>
          <cell r="Y52">
            <v>452.01633986928101</v>
          </cell>
          <cell r="Z52">
            <v>43385</v>
          </cell>
          <cell r="AA52">
            <v>7532</v>
          </cell>
          <cell r="AB52">
            <v>419.59</v>
          </cell>
          <cell r="AC52">
            <v>452.01633986928101</v>
          </cell>
          <cell r="AD52">
            <v>871.60633986928099</v>
          </cell>
          <cell r="AE52">
            <v>51409</v>
          </cell>
          <cell r="AF52">
            <v>830.8</v>
          </cell>
        </row>
        <row r="53">
          <cell r="A53" t="str">
            <v>2015.G.0072.075</v>
          </cell>
          <cell r="B53" t="str">
            <v>S5072 075</v>
          </cell>
          <cell r="C53" t="str">
            <v>G</v>
          </cell>
          <cell r="D53" t="str">
            <v>COMUNE DI COMO</v>
          </cell>
          <cell r="E53" t="str">
            <v>Asilo Nido  - Via Bellinzona 76</v>
          </cell>
          <cell r="F53" t="str">
            <v>2017/262</v>
          </cell>
          <cell r="G53" t="e">
            <v>#N/A</v>
          </cell>
          <cell r="H53">
            <v>65.349999999999994</v>
          </cell>
          <cell r="I53" t="str">
            <v>Metano</v>
          </cell>
          <cell r="J53">
            <v>307</v>
          </cell>
          <cell r="K53">
            <v>631</v>
          </cell>
          <cell r="L53">
            <v>712</v>
          </cell>
          <cell r="M53">
            <v>903</v>
          </cell>
          <cell r="N53">
            <v>818</v>
          </cell>
          <cell r="O53">
            <v>848</v>
          </cell>
          <cell r="P53">
            <v>546</v>
          </cell>
          <cell r="Q53">
            <v>0</v>
          </cell>
          <cell r="R53">
            <v>131</v>
          </cell>
          <cell r="S53">
            <v>0</v>
          </cell>
          <cell r="T53">
            <v>279</v>
          </cell>
          <cell r="U53">
            <v>191</v>
          </cell>
          <cell r="V53">
            <v>347.93333333333334</v>
          </cell>
          <cell r="W53">
            <v>5713.9333333333334</v>
          </cell>
          <cell r="X53">
            <v>102</v>
          </cell>
          <cell r="Y53">
            <v>56.018954248366015</v>
          </cell>
          <cell r="Z53">
            <v>43378</v>
          </cell>
          <cell r="AA53">
            <v>56718</v>
          </cell>
          <cell r="AB53">
            <v>65.72</v>
          </cell>
          <cell r="AC53">
            <v>56.018954248366015</v>
          </cell>
          <cell r="AD53">
            <v>121.73895424836601</v>
          </cell>
          <cell r="AE53">
            <v>62587</v>
          </cell>
          <cell r="AF53">
            <v>120.32</v>
          </cell>
        </row>
        <row r="54">
          <cell r="A54" t="str">
            <v>2015.G.0072.076</v>
          </cell>
          <cell r="B54" t="str">
            <v>S5072 076</v>
          </cell>
          <cell r="C54" t="str">
            <v>G</v>
          </cell>
          <cell r="D54" t="str">
            <v>COMUNE DI COMO</v>
          </cell>
          <cell r="E54" t="str">
            <v>Uffici Comunali - via Italia Libera, 18</v>
          </cell>
          <cell r="F54" t="str">
            <v>2017/236</v>
          </cell>
          <cell r="G54" t="e">
            <v>#N/A</v>
          </cell>
          <cell r="H54">
            <v>111.25</v>
          </cell>
          <cell r="I54" t="str">
            <v>Metano</v>
          </cell>
          <cell r="J54">
            <v>144</v>
          </cell>
          <cell r="K54">
            <v>1272</v>
          </cell>
          <cell r="L54">
            <v>1945</v>
          </cell>
          <cell r="M54">
            <v>2338</v>
          </cell>
          <cell r="N54">
            <v>1777</v>
          </cell>
          <cell r="O54">
            <v>1411</v>
          </cell>
          <cell r="P54">
            <v>652</v>
          </cell>
          <cell r="Q54">
            <v>79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163.20000000000002</v>
          </cell>
          <cell r="W54">
            <v>9781.2000000000007</v>
          </cell>
          <cell r="X54">
            <v>102</v>
          </cell>
          <cell r="Y54">
            <v>95.894117647058835</v>
          </cell>
          <cell r="Z54">
            <v>43390</v>
          </cell>
          <cell r="AA54">
            <v>23013</v>
          </cell>
          <cell r="AB54">
            <v>111.34</v>
          </cell>
          <cell r="AC54">
            <v>95.894117647058835</v>
          </cell>
          <cell r="AD54">
            <v>207.23411764705884</v>
          </cell>
          <cell r="AE54">
            <v>32623</v>
          </cell>
          <cell r="AF54">
            <v>203.1</v>
          </cell>
        </row>
        <row r="55">
          <cell r="A55" t="str">
            <v>2015.G.0072.096</v>
          </cell>
          <cell r="B55" t="str">
            <v>S5072 096</v>
          </cell>
          <cell r="C55" t="str">
            <v>G</v>
          </cell>
          <cell r="D55" t="str">
            <v>COMUNE DI COMO</v>
          </cell>
          <cell r="E55" t="str">
            <v>Centro Accoglienza - via Valleggio</v>
          </cell>
          <cell r="F55" t="str">
            <v>2017/254</v>
          </cell>
          <cell r="G55" t="e">
            <v>#N/A</v>
          </cell>
          <cell r="H55">
            <v>0</v>
          </cell>
          <cell r="I55" t="str">
            <v>Metano</v>
          </cell>
          <cell r="J55">
            <v>319</v>
          </cell>
          <cell r="K55">
            <v>590</v>
          </cell>
          <cell r="L55">
            <v>719</v>
          </cell>
          <cell r="M55">
            <v>782</v>
          </cell>
          <cell r="N55">
            <v>545</v>
          </cell>
          <cell r="O55">
            <v>570</v>
          </cell>
          <cell r="P55">
            <v>263</v>
          </cell>
          <cell r="Q55">
            <v>246</v>
          </cell>
          <cell r="R55">
            <v>110</v>
          </cell>
          <cell r="S55">
            <v>0</v>
          </cell>
          <cell r="T55">
            <v>153</v>
          </cell>
          <cell r="U55">
            <v>163</v>
          </cell>
          <cell r="V55">
            <v>361.5333333333333</v>
          </cell>
          <cell r="W55">
            <v>4821.5333333333328</v>
          </cell>
          <cell r="X55">
            <v>102</v>
          </cell>
          <cell r="Y55">
            <v>47.26993464052287</v>
          </cell>
        </row>
        <row r="56">
          <cell r="A56" t="str">
            <v>2015.G.0072.097</v>
          </cell>
          <cell r="B56" t="str">
            <v>S5072 097</v>
          </cell>
          <cell r="C56" t="str">
            <v>G</v>
          </cell>
          <cell r="D56" t="str">
            <v>COMUNE DI COMO</v>
          </cell>
          <cell r="E56" t="str">
            <v xml:space="preserve">Chiostro S.Eufemia - via Indipendenza </v>
          </cell>
          <cell r="F56" t="str">
            <v>2017/243</v>
          </cell>
          <cell r="G56" t="e">
            <v>#N/A</v>
          </cell>
          <cell r="H56">
            <v>43.77</v>
          </cell>
          <cell r="I56" t="str">
            <v>Metano</v>
          </cell>
          <cell r="J56">
            <v>204</v>
          </cell>
          <cell r="K56">
            <v>660</v>
          </cell>
          <cell r="L56">
            <v>907</v>
          </cell>
          <cell r="M56">
            <v>1020</v>
          </cell>
          <cell r="N56">
            <v>890</v>
          </cell>
          <cell r="O56">
            <v>876</v>
          </cell>
          <cell r="P56">
            <v>361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231.2</v>
          </cell>
          <cell r="W56">
            <v>5149.2</v>
          </cell>
          <cell r="X56">
            <v>102</v>
          </cell>
          <cell r="Y56">
            <v>50.482352941176465</v>
          </cell>
        </row>
        <row r="57">
          <cell r="A57" t="str">
            <v>2015.G.0072.100</v>
          </cell>
          <cell r="B57" t="str">
            <v>S5072 100</v>
          </cell>
          <cell r="C57" t="str">
            <v>G</v>
          </cell>
          <cell r="D57" t="str">
            <v>COMUNE DI COMO</v>
          </cell>
          <cell r="E57" t="str">
            <v>Circ. N.7 - via Collegio dei Dottori</v>
          </cell>
          <cell r="F57" t="str">
            <v>2017/214</v>
          </cell>
          <cell r="G57" t="e">
            <v>#N/A</v>
          </cell>
          <cell r="H57">
            <v>39.119999999999997</v>
          </cell>
          <cell r="I57" t="str">
            <v>Metano</v>
          </cell>
          <cell r="J57">
            <v>169</v>
          </cell>
          <cell r="K57">
            <v>411</v>
          </cell>
          <cell r="L57">
            <v>544</v>
          </cell>
          <cell r="M57">
            <v>2048</v>
          </cell>
          <cell r="N57">
            <v>823</v>
          </cell>
          <cell r="O57">
            <v>811</v>
          </cell>
          <cell r="P57">
            <v>392</v>
          </cell>
          <cell r="Q57">
            <v>97</v>
          </cell>
          <cell r="R57">
            <v>58</v>
          </cell>
          <cell r="S57">
            <v>268</v>
          </cell>
          <cell r="T57">
            <v>81</v>
          </cell>
          <cell r="U57">
            <v>88</v>
          </cell>
          <cell r="V57">
            <v>191.53333333333333</v>
          </cell>
          <cell r="W57">
            <v>5981.5333333333338</v>
          </cell>
          <cell r="X57">
            <v>102</v>
          </cell>
          <cell r="Y57">
            <v>58.642483660130722</v>
          </cell>
          <cell r="Z57">
            <v>43391</v>
          </cell>
          <cell r="AA57">
            <v>21819</v>
          </cell>
          <cell r="AE57">
            <v>26233</v>
          </cell>
        </row>
        <row r="58">
          <cell r="A58" t="str">
            <v>2015.G.0072.101</v>
          </cell>
          <cell r="B58" t="str">
            <v>S5072 101</v>
          </cell>
          <cell r="C58" t="str">
            <v>G</v>
          </cell>
          <cell r="D58" t="str">
            <v>COMUNE DI COMO</v>
          </cell>
          <cell r="E58" t="str">
            <v>Circ. N.9 - Civiglio - piazza Concordia</v>
          </cell>
          <cell r="F58" t="str">
            <v>2017/206</v>
          </cell>
          <cell r="G58" t="e">
            <v>#N/A</v>
          </cell>
          <cell r="H58">
            <v>27.46</v>
          </cell>
          <cell r="I58" t="str">
            <v>Metano</v>
          </cell>
          <cell r="K58">
            <v>373</v>
          </cell>
          <cell r="L58">
            <v>488</v>
          </cell>
          <cell r="M58">
            <v>745</v>
          </cell>
          <cell r="N58">
            <v>441</v>
          </cell>
          <cell r="O58">
            <v>435</v>
          </cell>
          <cell r="P58">
            <v>210</v>
          </cell>
          <cell r="Q58">
            <v>0</v>
          </cell>
          <cell r="R58">
            <v>0</v>
          </cell>
          <cell r="S58">
            <v>44</v>
          </cell>
          <cell r="T58">
            <v>43</v>
          </cell>
          <cell r="U58">
            <v>47</v>
          </cell>
          <cell r="V58">
            <v>0</v>
          </cell>
          <cell r="W58">
            <v>2826</v>
          </cell>
          <cell r="X58">
            <v>102</v>
          </cell>
          <cell r="Y58">
            <v>27.705882352941178</v>
          </cell>
        </row>
        <row r="59">
          <cell r="A59" t="str">
            <v>2015.G.0072.104</v>
          </cell>
          <cell r="B59" t="str">
            <v>S5072 104</v>
          </cell>
          <cell r="C59" t="str">
            <v>G</v>
          </cell>
          <cell r="D59" t="str">
            <v>COMUNE DI COMO</v>
          </cell>
          <cell r="E59" t="str">
            <v>Ex Scuola Elementare - Via per Brunate, 30</v>
          </cell>
          <cell r="F59" t="str">
            <v>2017/246</v>
          </cell>
          <cell r="G59" t="e">
            <v>#N/A</v>
          </cell>
          <cell r="H59">
            <v>7.58</v>
          </cell>
          <cell r="I59" t="str">
            <v>Metano</v>
          </cell>
          <cell r="J59">
            <v>65</v>
          </cell>
          <cell r="K59">
            <v>157</v>
          </cell>
          <cell r="L59">
            <v>210</v>
          </cell>
          <cell r="M59">
            <v>232</v>
          </cell>
          <cell r="N59">
            <v>204</v>
          </cell>
          <cell r="O59">
            <v>201</v>
          </cell>
          <cell r="P59">
            <v>97</v>
          </cell>
          <cell r="Q59">
            <v>24</v>
          </cell>
          <cell r="R59">
            <v>22</v>
          </cell>
          <cell r="S59">
            <v>66</v>
          </cell>
          <cell r="T59">
            <v>20</v>
          </cell>
          <cell r="U59">
            <v>22</v>
          </cell>
          <cell r="V59">
            <v>73.666666666666671</v>
          </cell>
          <cell r="W59">
            <v>1393.6666666666667</v>
          </cell>
          <cell r="X59">
            <v>102</v>
          </cell>
          <cell r="Y59">
            <v>13.663398692810459</v>
          </cell>
        </row>
        <row r="60">
          <cell r="A60" t="str">
            <v>2015.G.0072.204</v>
          </cell>
          <cell r="B60" t="str">
            <v>S5072 204</v>
          </cell>
          <cell r="C60" t="str">
            <v>G</v>
          </cell>
          <cell r="D60" t="str">
            <v>COMUNE DI COMO</v>
          </cell>
          <cell r="E60" t="str">
            <v>Liceo Boccioni Via Canova</v>
          </cell>
          <cell r="F60" t="str">
            <v>2017/422</v>
          </cell>
          <cell r="G60" t="e">
            <v>#N/A</v>
          </cell>
          <cell r="H60">
            <v>134.80000000000001</v>
          </cell>
          <cell r="I60" t="str">
            <v>Metano</v>
          </cell>
          <cell r="J60">
            <v>348</v>
          </cell>
          <cell r="K60">
            <v>2110</v>
          </cell>
          <cell r="L60">
            <v>3088</v>
          </cell>
          <cell r="M60">
            <v>3214</v>
          </cell>
          <cell r="N60">
            <v>2391</v>
          </cell>
          <cell r="O60">
            <v>1786</v>
          </cell>
          <cell r="P60">
            <v>964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394.4</v>
          </cell>
          <cell r="W60">
            <v>14295.4</v>
          </cell>
          <cell r="X60">
            <v>102</v>
          </cell>
          <cell r="Y60">
            <v>140.15098039215687</v>
          </cell>
        </row>
        <row r="61">
          <cell r="A61" t="str">
            <v>2015.G.0072.205</v>
          </cell>
          <cell r="B61" t="str">
            <v>S5072 205</v>
          </cell>
          <cell r="C61" t="str">
            <v>G</v>
          </cell>
          <cell r="D61" t="str">
            <v>COMUNE DI COMO</v>
          </cell>
          <cell r="E61" t="str">
            <v>Pala San Pietro - Casnate C/Bernate</v>
          </cell>
          <cell r="F61" t="str">
            <v>2017/423</v>
          </cell>
          <cell r="G61" t="e">
            <v>#N/A</v>
          </cell>
          <cell r="H61">
            <v>268.68</v>
          </cell>
          <cell r="I61" t="str">
            <v>Metano</v>
          </cell>
          <cell r="J61">
            <v>627</v>
          </cell>
          <cell r="K61">
            <v>4008</v>
          </cell>
          <cell r="L61">
            <v>4374</v>
          </cell>
          <cell r="M61">
            <v>7226</v>
          </cell>
          <cell r="N61">
            <v>5968</v>
          </cell>
          <cell r="O61">
            <v>4065</v>
          </cell>
          <cell r="P61">
            <v>1804</v>
          </cell>
          <cell r="Q61">
            <v>694</v>
          </cell>
          <cell r="R61">
            <v>630</v>
          </cell>
          <cell r="S61">
            <v>416</v>
          </cell>
          <cell r="T61">
            <v>376</v>
          </cell>
          <cell r="U61">
            <v>422</v>
          </cell>
          <cell r="V61">
            <v>710.6</v>
          </cell>
          <cell r="W61">
            <v>31320.6</v>
          </cell>
          <cell r="X61">
            <v>102</v>
          </cell>
          <cell r="Y61">
            <v>307.06470588235294</v>
          </cell>
        </row>
        <row r="62">
          <cell r="A62" t="str">
            <v>2015.G.0072.079</v>
          </cell>
          <cell r="B62" t="str">
            <v>S5072 079</v>
          </cell>
          <cell r="C62" t="str">
            <v>G</v>
          </cell>
          <cell r="D62" t="str">
            <v>COMUNE DI COMO</v>
          </cell>
          <cell r="E62" t="str">
            <v>Ex Chiostro San Francesco</v>
          </cell>
          <cell r="G62" t="e">
            <v>#N/A</v>
          </cell>
          <cell r="H62">
            <v>93.15</v>
          </cell>
          <cell r="I62" t="str">
            <v>Gasolio</v>
          </cell>
          <cell r="W62">
            <v>0</v>
          </cell>
          <cell r="X62">
            <v>107</v>
          </cell>
          <cell r="Y62">
            <v>0</v>
          </cell>
        </row>
        <row r="63">
          <cell r="A63" t="str">
            <v>2015.G.0072.080</v>
          </cell>
          <cell r="B63" t="str">
            <v>S5072 080</v>
          </cell>
          <cell r="C63" t="str">
            <v>G</v>
          </cell>
          <cell r="D63" t="str">
            <v>COMUNE DI COMO</v>
          </cell>
          <cell r="E63" t="str">
            <v>Palazzo Volpi - Pinacoteca</v>
          </cell>
          <cell r="G63" t="e">
            <v>#N/A</v>
          </cell>
          <cell r="H63">
            <v>336.11111111111109</v>
          </cell>
          <cell r="I63" t="str">
            <v>Gasolio</v>
          </cell>
          <cell r="W63">
            <v>0</v>
          </cell>
          <cell r="X63">
            <v>107</v>
          </cell>
          <cell r="Y63">
            <v>0</v>
          </cell>
        </row>
        <row r="64">
          <cell r="A64" t="str">
            <v>2015.G.0072.082</v>
          </cell>
          <cell r="B64" t="str">
            <v>S5072 082</v>
          </cell>
          <cell r="C64" t="str">
            <v>G</v>
          </cell>
          <cell r="D64" t="str">
            <v>COMUNE DI COMO</v>
          </cell>
          <cell r="E64" t="str">
            <v>Scuola Elementare Santa Chiara Muggiò</v>
          </cell>
          <cell r="G64" t="e">
            <v>#N/A</v>
          </cell>
          <cell r="H64">
            <v>127.8</v>
          </cell>
          <cell r="I64" t="str">
            <v>Gasolio</v>
          </cell>
          <cell r="W64">
            <v>0</v>
          </cell>
          <cell r="X64">
            <v>107.77</v>
          </cell>
          <cell r="Y64">
            <v>0</v>
          </cell>
        </row>
        <row r="65">
          <cell r="A65" t="str">
            <v>2015.G.0072.083</v>
          </cell>
          <cell r="B65" t="str">
            <v>S5072 083</v>
          </cell>
          <cell r="C65" t="str">
            <v>G</v>
          </cell>
          <cell r="D65" t="str">
            <v>COMUNE DI COMO</v>
          </cell>
          <cell r="E65" t="str">
            <v>Scuola Materna S. Elia Alciato</v>
          </cell>
          <cell r="G65" t="e">
            <v>#N/A</v>
          </cell>
          <cell r="H65">
            <v>268.70999999999998</v>
          </cell>
          <cell r="I65" t="str">
            <v>Gasolio</v>
          </cell>
          <cell r="W65">
            <v>0</v>
          </cell>
          <cell r="X65">
            <v>107</v>
          </cell>
          <cell r="Y65">
            <v>0</v>
          </cell>
        </row>
        <row r="66">
          <cell r="A66" t="str">
            <v>2015.G.0072.084</v>
          </cell>
          <cell r="B66" t="str">
            <v>S5072 084</v>
          </cell>
          <cell r="C66" t="str">
            <v>G</v>
          </cell>
          <cell r="D66" t="str">
            <v>COMUNE DI COMO</v>
          </cell>
          <cell r="E66" t="str">
            <v>Ex Scuola Pessina + Nostra Famiglia</v>
          </cell>
          <cell r="G66" t="e">
            <v>#N/A</v>
          </cell>
          <cell r="H66">
            <v>291.45</v>
          </cell>
          <cell r="I66" t="str">
            <v>Gasolio</v>
          </cell>
          <cell r="W66">
            <v>0</v>
          </cell>
          <cell r="X66">
            <v>105</v>
          </cell>
          <cell r="Y66">
            <v>0</v>
          </cell>
        </row>
        <row r="69">
          <cell r="H69">
            <v>20025.031777777778</v>
          </cell>
          <cell r="J69">
            <v>77509</v>
          </cell>
          <cell r="K69">
            <v>219779</v>
          </cell>
          <cell r="L69">
            <v>315249</v>
          </cell>
          <cell r="M69">
            <v>382490</v>
          </cell>
          <cell r="N69">
            <v>318791</v>
          </cell>
          <cell r="O69">
            <v>245421</v>
          </cell>
          <cell r="P69">
            <v>137636</v>
          </cell>
          <cell r="Q69">
            <v>49871</v>
          </cell>
          <cell r="R69">
            <v>28572</v>
          </cell>
          <cell r="S69">
            <v>34768</v>
          </cell>
          <cell r="T69">
            <v>26859</v>
          </cell>
          <cell r="U69">
            <v>33226</v>
          </cell>
          <cell r="V69">
            <v>87843.533333333326</v>
          </cell>
          <cell r="W69">
            <v>1958014.5333333332</v>
          </cell>
          <cell r="Y69">
            <v>19196.220915032689</v>
          </cell>
        </row>
        <row r="71">
          <cell r="H71">
            <v>2006908.6847688889</v>
          </cell>
          <cell r="W71">
            <v>631731.74829622917</v>
          </cell>
          <cell r="Y71">
            <v>6178.4878021028499</v>
          </cell>
        </row>
        <row r="72">
          <cell r="Y72">
            <v>2034607.4547843146</v>
          </cell>
        </row>
        <row r="73">
          <cell r="H73">
            <v>5390</v>
          </cell>
          <cell r="I73">
            <v>100.22</v>
          </cell>
        </row>
        <row r="75">
          <cell r="H75">
            <v>25415.031777777778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2:H60"/>
  <sheetViews>
    <sheetView topLeftCell="A35" workbookViewId="0">
      <selection activeCell="B56" sqref="B56"/>
    </sheetView>
  </sheetViews>
  <sheetFormatPr defaultRowHeight="15" x14ac:dyDescent="0.25"/>
  <cols>
    <col min="1" max="1" width="41.5703125" bestFit="1" customWidth="1"/>
    <col min="2" max="2" width="17.28515625" customWidth="1"/>
    <col min="3" max="3" width="18.5703125" customWidth="1"/>
    <col min="4" max="4" width="16.28515625" customWidth="1"/>
    <col min="5" max="5" width="19.7109375" customWidth="1"/>
    <col min="6" max="6" width="14.28515625" customWidth="1"/>
    <col min="7" max="7" width="14.7109375" bestFit="1" customWidth="1"/>
  </cols>
  <sheetData>
    <row r="2" spans="1:5" x14ac:dyDescent="0.25">
      <c r="A2" s="9" t="s">
        <v>0</v>
      </c>
    </row>
    <row r="4" spans="1:5" x14ac:dyDescent="0.25">
      <c r="A4" s="3" t="s">
        <v>14</v>
      </c>
      <c r="C4" s="8">
        <f>C8*D23</f>
        <v>3264384</v>
      </c>
    </row>
    <row r="5" spans="1:5" x14ac:dyDescent="0.25">
      <c r="A5" s="3"/>
      <c r="C5" s="8"/>
    </row>
    <row r="6" spans="1:5" x14ac:dyDescent="0.25">
      <c r="A6" s="3" t="s">
        <v>15</v>
      </c>
      <c r="C6" s="8">
        <f>C12*D23</f>
        <v>2840014.08</v>
      </c>
    </row>
    <row r="8" spans="1:5" x14ac:dyDescent="0.25">
      <c r="A8" s="3" t="s">
        <v>1</v>
      </c>
      <c r="C8" s="7">
        <v>32</v>
      </c>
    </row>
    <row r="9" spans="1:5" x14ac:dyDescent="0.25">
      <c r="A9" s="3"/>
      <c r="C9" s="1"/>
    </row>
    <row r="10" spans="1:5" x14ac:dyDescent="0.25">
      <c r="A10" s="3" t="s">
        <v>12</v>
      </c>
      <c r="B10" s="6">
        <v>0.13</v>
      </c>
    </row>
    <row r="11" spans="1:5" x14ac:dyDescent="0.25">
      <c r="A11" s="3"/>
      <c r="B11" s="6"/>
      <c r="C11" s="7"/>
    </row>
    <row r="12" spans="1:5" x14ac:dyDescent="0.25">
      <c r="A12" s="3" t="s">
        <v>13</v>
      </c>
      <c r="B12" s="6"/>
      <c r="C12" s="7">
        <f>C8-(C8*B10)</f>
        <v>27.84</v>
      </c>
      <c r="D12" s="73"/>
      <c r="E12" s="73"/>
    </row>
    <row r="13" spans="1:5" x14ac:dyDescent="0.25">
      <c r="C13" s="1"/>
    </row>
    <row r="15" spans="1:5" x14ac:dyDescent="0.25">
      <c r="A15" s="3" t="s">
        <v>2</v>
      </c>
    </row>
    <row r="17" spans="1:8" ht="33" customHeight="1" x14ac:dyDescent="0.25">
      <c r="A17" s="10" t="s">
        <v>3</v>
      </c>
      <c r="B17" s="10" t="s">
        <v>4</v>
      </c>
      <c r="C17" s="10" t="s">
        <v>5</v>
      </c>
      <c r="D17" s="10" t="s">
        <v>6</v>
      </c>
    </row>
    <row r="18" spans="1:8" x14ac:dyDescent="0.25">
      <c r="A18" s="11">
        <v>78</v>
      </c>
      <c r="B18" s="11" t="s">
        <v>7</v>
      </c>
      <c r="C18" s="12" t="s">
        <v>9</v>
      </c>
      <c r="D18" s="13">
        <v>83320</v>
      </c>
    </row>
    <row r="19" spans="1:8" x14ac:dyDescent="0.25">
      <c r="A19" s="11">
        <v>6</v>
      </c>
      <c r="B19" s="11" t="s">
        <v>7</v>
      </c>
      <c r="C19" s="12" t="s">
        <v>10</v>
      </c>
      <c r="D19" s="13">
        <v>4050</v>
      </c>
    </row>
    <row r="20" spans="1:8" x14ac:dyDescent="0.25">
      <c r="A20" s="11">
        <v>11</v>
      </c>
      <c r="B20" s="11" t="s">
        <v>7</v>
      </c>
      <c r="C20" s="12" t="s">
        <v>11</v>
      </c>
      <c r="D20" s="13">
        <v>13350</v>
      </c>
    </row>
    <row r="21" spans="1:8" x14ac:dyDescent="0.25">
      <c r="A21" s="11">
        <v>14</v>
      </c>
      <c r="B21" s="14" t="s">
        <v>8</v>
      </c>
      <c r="C21" s="12" t="s">
        <v>9</v>
      </c>
      <c r="D21" s="13">
        <v>1292</v>
      </c>
    </row>
    <row r="23" spans="1:8" x14ac:dyDescent="0.25">
      <c r="A23" s="15">
        <f>SUM(A18:A22)</f>
        <v>109</v>
      </c>
      <c r="B23" s="15"/>
      <c r="C23" s="15"/>
      <c r="D23" s="16">
        <f>SUM(D18:D22)</f>
        <v>102012</v>
      </c>
      <c r="E23" s="139"/>
      <c r="G23" s="139"/>
    </row>
    <row r="26" spans="1:8" x14ac:dyDescent="0.25">
      <c r="A26" s="3" t="s">
        <v>25</v>
      </c>
    </row>
    <row r="28" spans="1:8" x14ac:dyDescent="0.25">
      <c r="A28" s="21" t="s">
        <v>16</v>
      </c>
      <c r="B28" s="22"/>
      <c r="C28" s="22"/>
      <c r="D28" s="22"/>
      <c r="E28" s="23" t="s">
        <v>21</v>
      </c>
      <c r="F28" s="22"/>
      <c r="G28" s="22"/>
      <c r="H28" s="24"/>
    </row>
    <row r="29" spans="1:8" x14ac:dyDescent="0.25">
      <c r="A29" s="25"/>
      <c r="B29" s="17"/>
      <c r="C29" s="17"/>
      <c r="D29" s="17"/>
      <c r="E29" s="17"/>
      <c r="F29" s="17"/>
      <c r="G29" s="17"/>
      <c r="H29" s="26"/>
    </row>
    <row r="30" spans="1:8" x14ac:dyDescent="0.25">
      <c r="A30" s="27" t="s">
        <v>17</v>
      </c>
      <c r="B30" s="18">
        <v>0.65100000000000002</v>
      </c>
      <c r="C30" s="18" t="s">
        <v>18</v>
      </c>
      <c r="D30" s="17"/>
      <c r="E30" s="15" t="s">
        <v>22</v>
      </c>
      <c r="F30" s="19">
        <v>0.71570183531790443</v>
      </c>
      <c r="G30" s="18" t="s">
        <v>23</v>
      </c>
      <c r="H30" s="26"/>
    </row>
    <row r="31" spans="1:8" x14ac:dyDescent="0.25">
      <c r="A31" s="25"/>
      <c r="B31" s="17"/>
      <c r="C31" s="17"/>
      <c r="D31" s="17"/>
      <c r="E31" s="17"/>
      <c r="F31" s="17"/>
      <c r="G31" s="17"/>
      <c r="H31" s="26"/>
    </row>
    <row r="32" spans="1:8" x14ac:dyDescent="0.25">
      <c r="A32" s="27" t="s">
        <v>19</v>
      </c>
      <c r="B32" s="20">
        <v>0.8</v>
      </c>
      <c r="C32" s="17"/>
      <c r="D32" s="17"/>
      <c r="E32" s="17"/>
      <c r="F32" s="17"/>
      <c r="G32" s="17"/>
      <c r="H32" s="26"/>
    </row>
    <row r="33" spans="1:8" x14ac:dyDescent="0.25">
      <c r="A33" s="25"/>
      <c r="B33" s="17"/>
      <c r="C33" s="17"/>
      <c r="D33" s="17"/>
      <c r="E33" s="17"/>
      <c r="F33" s="17"/>
      <c r="G33" s="17"/>
      <c r="H33" s="26"/>
    </row>
    <row r="34" spans="1:8" x14ac:dyDescent="0.25">
      <c r="A34" s="27" t="s">
        <v>20</v>
      </c>
      <c r="B34" s="20">
        <v>0.2</v>
      </c>
      <c r="C34" s="17"/>
      <c r="D34" s="17"/>
      <c r="E34" s="17"/>
      <c r="F34" s="17"/>
      <c r="G34" s="17"/>
      <c r="H34" s="26"/>
    </row>
    <row r="35" spans="1:8" x14ac:dyDescent="0.25">
      <c r="A35" s="25"/>
      <c r="B35" s="20"/>
      <c r="C35" s="17"/>
      <c r="D35" s="17"/>
      <c r="E35" s="17"/>
      <c r="F35" s="17"/>
      <c r="G35" s="17"/>
      <c r="H35" s="26"/>
    </row>
    <row r="36" spans="1:8" x14ac:dyDescent="0.25">
      <c r="A36" s="25"/>
      <c r="B36" s="17"/>
      <c r="C36" s="17"/>
      <c r="D36" s="17"/>
      <c r="E36" s="17"/>
      <c r="F36" s="17"/>
      <c r="G36" s="17"/>
      <c r="H36" s="26"/>
    </row>
    <row r="37" spans="1:8" x14ac:dyDescent="0.25">
      <c r="A37" s="28" t="s">
        <v>24</v>
      </c>
      <c r="B37" s="29">
        <f>(C12*20%)+((C12*80%)/B30*F30)</f>
        <v>30.053577997235589</v>
      </c>
      <c r="C37" s="30"/>
      <c r="D37" s="30"/>
      <c r="E37" s="30"/>
      <c r="F37" s="30"/>
      <c r="G37" s="30"/>
      <c r="H37" s="31"/>
    </row>
    <row r="39" spans="1:8" ht="15.75" thickBot="1" x14ac:dyDescent="0.3">
      <c r="A39" s="3"/>
    </row>
    <row r="40" spans="1:8" ht="15.75" thickBot="1" x14ac:dyDescent="0.3">
      <c r="A40" s="151" t="s">
        <v>26</v>
      </c>
      <c r="B40" s="152"/>
      <c r="C40" s="152"/>
      <c r="D40" s="152"/>
      <c r="E40" s="153"/>
    </row>
    <row r="41" spans="1:8" x14ac:dyDescent="0.25">
      <c r="A41" s="140"/>
      <c r="E41" s="141"/>
    </row>
    <row r="42" spans="1:8" x14ac:dyDescent="0.25">
      <c r="A42" s="140"/>
      <c r="E42" s="141"/>
    </row>
    <row r="43" spans="1:8" x14ac:dyDescent="0.25">
      <c r="A43" s="142" t="s">
        <v>24</v>
      </c>
      <c r="B43" s="72">
        <f>B37</f>
        <v>30.053577997235589</v>
      </c>
      <c r="E43" s="141"/>
    </row>
    <row r="44" spans="1:8" x14ac:dyDescent="0.25">
      <c r="A44" s="140"/>
      <c r="E44" s="141"/>
    </row>
    <row r="45" spans="1:8" x14ac:dyDescent="0.25">
      <c r="A45" s="142" t="s">
        <v>17</v>
      </c>
      <c r="B45" s="143">
        <f>'Listino IV Trim 2013'!B26</f>
        <v>0.66040816933333346</v>
      </c>
      <c r="C45" s="2" t="s">
        <v>23</v>
      </c>
      <c r="E45" s="141"/>
    </row>
    <row r="46" spans="1:8" x14ac:dyDescent="0.25">
      <c r="A46" s="140"/>
      <c r="E46" s="141"/>
    </row>
    <row r="47" spans="1:8" x14ac:dyDescent="0.25">
      <c r="A47" s="144" t="s">
        <v>61</v>
      </c>
      <c r="B47" s="145">
        <f>B43*D23</f>
        <v>3065825.5986539968</v>
      </c>
      <c r="E47" s="141"/>
    </row>
    <row r="48" spans="1:8" x14ac:dyDescent="0.25">
      <c r="A48" s="140"/>
      <c r="E48" s="141"/>
    </row>
    <row r="49" spans="1:7" x14ac:dyDescent="0.25">
      <c r="A49" s="140"/>
      <c r="E49" s="141"/>
    </row>
    <row r="50" spans="1:7" ht="15.75" thickBot="1" x14ac:dyDescent="0.3"/>
    <row r="51" spans="1:7" ht="15.75" thickBot="1" x14ac:dyDescent="0.3">
      <c r="A51" s="151" t="s">
        <v>631</v>
      </c>
      <c r="B51" s="152"/>
      <c r="C51" s="152"/>
      <c r="D51" s="152"/>
      <c r="E51" s="153"/>
    </row>
    <row r="52" spans="1:7" x14ac:dyDescent="0.25">
      <c r="A52" s="140"/>
      <c r="E52" s="141"/>
    </row>
    <row r="53" spans="1:7" x14ac:dyDescent="0.25">
      <c r="A53" s="140"/>
      <c r="E53" s="141"/>
    </row>
    <row r="54" spans="1:7" x14ac:dyDescent="0.25">
      <c r="A54" s="259" t="s">
        <v>310</v>
      </c>
      <c r="B54" s="261">
        <f>(B43*20%)+((B43*80%)/B45*B56)</f>
        <v>40.933087930961186</v>
      </c>
      <c r="C54" s="72"/>
      <c r="D54" s="73"/>
      <c r="E54" s="141"/>
      <c r="F54" s="73"/>
    </row>
    <row r="55" spans="1:7" x14ac:dyDescent="0.25">
      <c r="A55" s="140"/>
      <c r="E55" s="141"/>
    </row>
    <row r="56" spans="1:7" x14ac:dyDescent="0.25">
      <c r="A56" s="259" t="s">
        <v>627</v>
      </c>
      <c r="B56" s="260">
        <f>'PMP_2024-2025'!E20</f>
        <v>0.95924601649567587</v>
      </c>
      <c r="C56" s="2"/>
      <c r="D56" s="2"/>
      <c r="E56" s="141"/>
      <c r="G56" s="73"/>
    </row>
    <row r="57" spans="1:7" x14ac:dyDescent="0.25">
      <c r="A57" s="140"/>
      <c r="E57" s="141"/>
    </row>
    <row r="58" spans="1:7" x14ac:dyDescent="0.25">
      <c r="A58" s="144" t="s">
        <v>61</v>
      </c>
      <c r="B58" s="145">
        <f>B54*D23</f>
        <v>4175666.1660132124</v>
      </c>
      <c r="E58" s="141"/>
    </row>
    <row r="59" spans="1:7" x14ac:dyDescent="0.25">
      <c r="A59" s="140"/>
      <c r="E59" s="141"/>
    </row>
    <row r="60" spans="1:7" ht="15.75" thickBot="1" x14ac:dyDescent="0.3">
      <c r="A60" s="146"/>
      <c r="B60" s="147"/>
      <c r="C60" s="148"/>
      <c r="D60" s="149"/>
      <c r="E60" s="150"/>
      <c r="F60" s="73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DA058-DAE4-4DF3-93CC-7F2D0E5E03D1}">
  <sheetPr codeName="Foglio16">
    <tabColor rgb="FF92D050"/>
  </sheetPr>
  <dimension ref="A1:W22"/>
  <sheetViews>
    <sheetView workbookViewId="0">
      <selection activeCell="O25" sqref="O25"/>
    </sheetView>
  </sheetViews>
  <sheetFormatPr defaultRowHeight="15" x14ac:dyDescent="0.25"/>
  <cols>
    <col min="1" max="1" width="22.28515625" customWidth="1"/>
    <col min="22" max="22" width="11.85546875" bestFit="1" customWidth="1"/>
    <col min="23" max="23" width="12.42578125" bestFit="1" customWidth="1"/>
  </cols>
  <sheetData>
    <row r="1" spans="1:23" ht="15.75" x14ac:dyDescent="0.25">
      <c r="A1" s="74" t="s">
        <v>62</v>
      </c>
      <c r="B1" s="32"/>
      <c r="C1" s="32"/>
      <c r="D1" s="32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</row>
    <row r="2" spans="1:23" ht="25.5" x14ac:dyDescent="0.25">
      <c r="A2" s="77" t="s">
        <v>63</v>
      </c>
      <c r="B2" s="32"/>
      <c r="C2" s="32"/>
      <c r="D2" s="32"/>
      <c r="E2" s="286" t="s">
        <v>64</v>
      </c>
      <c r="F2" s="75"/>
      <c r="G2" s="75"/>
      <c r="H2" s="75"/>
      <c r="I2" s="75"/>
      <c r="J2" s="75"/>
      <c r="K2" s="75"/>
      <c r="L2" s="75"/>
      <c r="M2" s="286" t="s">
        <v>65</v>
      </c>
      <c r="N2" s="78"/>
      <c r="O2" s="75"/>
      <c r="P2" s="75"/>
      <c r="Q2" s="75"/>
      <c r="R2" s="286" t="s">
        <v>66</v>
      </c>
    </row>
    <row r="3" spans="1:23" x14ac:dyDescent="0.25">
      <c r="A3" s="79" t="s">
        <v>67</v>
      </c>
      <c r="B3" s="32"/>
      <c r="C3" s="32"/>
      <c r="D3" s="32"/>
      <c r="E3" s="287"/>
      <c r="F3" s="75"/>
      <c r="G3" s="75"/>
      <c r="H3" s="75"/>
      <c r="I3" s="75"/>
      <c r="J3" s="75"/>
      <c r="K3" s="75"/>
      <c r="L3" s="75"/>
      <c r="M3" s="287"/>
      <c r="N3" s="78"/>
      <c r="O3" s="75"/>
      <c r="P3" s="75"/>
      <c r="Q3" s="75"/>
      <c r="R3" s="287"/>
    </row>
    <row r="4" spans="1:23" ht="25.5" x14ac:dyDescent="0.25">
      <c r="A4" s="80" t="s">
        <v>624</v>
      </c>
      <c r="B4" s="81" t="s">
        <v>39</v>
      </c>
      <c r="C4" s="82" t="s">
        <v>40</v>
      </c>
      <c r="D4" s="82" t="s">
        <v>41</v>
      </c>
      <c r="E4" s="288"/>
      <c r="F4" s="83" t="s">
        <v>46</v>
      </c>
      <c r="G4" s="84" t="s">
        <v>47</v>
      </c>
      <c r="H4" s="84" t="s">
        <v>48</v>
      </c>
      <c r="I4" s="84" t="s">
        <v>53</v>
      </c>
      <c r="J4" s="84" t="s">
        <v>49</v>
      </c>
      <c r="K4" s="85" t="s">
        <v>68</v>
      </c>
      <c r="L4" s="86" t="s">
        <v>69</v>
      </c>
      <c r="M4" s="288"/>
      <c r="N4" s="84" t="s">
        <v>51</v>
      </c>
      <c r="O4" s="83" t="s">
        <v>52</v>
      </c>
      <c r="P4" s="87" t="s">
        <v>50</v>
      </c>
      <c r="Q4" s="87" t="s">
        <v>70</v>
      </c>
      <c r="R4" s="288"/>
    </row>
    <row r="5" spans="1:23" ht="25.5" x14ac:dyDescent="0.25">
      <c r="A5" s="33" t="s">
        <v>71</v>
      </c>
      <c r="B5" s="88"/>
      <c r="C5" s="89"/>
      <c r="D5" s="89"/>
      <c r="E5" s="90"/>
      <c r="F5" s="89"/>
      <c r="G5" s="88"/>
      <c r="H5" s="89"/>
      <c r="I5" s="89"/>
      <c r="J5" s="89"/>
      <c r="K5" s="89"/>
      <c r="L5" s="89"/>
      <c r="M5" s="91"/>
      <c r="N5" s="91"/>
      <c r="O5" s="88"/>
      <c r="P5" s="89"/>
      <c r="Q5" s="92"/>
      <c r="R5" s="92"/>
      <c r="S5" s="67" t="s">
        <v>81</v>
      </c>
      <c r="T5" s="120" t="s">
        <v>57</v>
      </c>
      <c r="U5" s="67" t="s">
        <v>82</v>
      </c>
      <c r="V5" s="67" t="s">
        <v>83</v>
      </c>
      <c r="W5" s="121" t="s">
        <v>84</v>
      </c>
    </row>
    <row r="6" spans="1:23" x14ac:dyDescent="0.25">
      <c r="A6" s="34" t="s">
        <v>72</v>
      </c>
      <c r="B6" s="263">
        <v>0.40300999999999998</v>
      </c>
      <c r="C6" s="263">
        <v>3.3815999999999999E-2</v>
      </c>
      <c r="D6" s="263">
        <v>7.9459999999999999E-3</v>
      </c>
      <c r="E6" s="289">
        <v>0.444772</v>
      </c>
      <c r="F6" s="273" t="s">
        <v>73</v>
      </c>
      <c r="G6" s="93">
        <v>0</v>
      </c>
      <c r="H6" s="263">
        <v>7.4360999999999997E-2</v>
      </c>
      <c r="I6" s="263">
        <v>1.186E-3</v>
      </c>
      <c r="J6" s="263">
        <v>3.4837E-2</v>
      </c>
      <c r="K6" s="273" t="s">
        <v>73</v>
      </c>
      <c r="L6" s="273" t="s">
        <v>73</v>
      </c>
      <c r="M6" s="94">
        <f>G6+$H$6+$I$6+$J$6</f>
        <v>0.11038400000000001</v>
      </c>
      <c r="N6" s="263">
        <v>0</v>
      </c>
      <c r="O6" s="293">
        <v>1.2695E-2</v>
      </c>
      <c r="P6" s="95">
        <v>0</v>
      </c>
      <c r="Q6" s="263">
        <v>7.2920000000000007E-3</v>
      </c>
      <c r="R6" s="96">
        <f>$N$6+$O$6+P6+$Q$6</f>
        <v>1.9987000000000001E-2</v>
      </c>
      <c r="S6" s="113">
        <f>$E$6+M6+R6</f>
        <v>0.57514299999999996</v>
      </c>
      <c r="T6" s="53">
        <v>4.3999999999999997E-2</v>
      </c>
      <c r="U6" s="97">
        <f>S6+T6</f>
        <v>0.619143</v>
      </c>
      <c r="V6" s="125">
        <v>120</v>
      </c>
      <c r="W6" s="114">
        <f>U6*V6</f>
        <v>74.297160000000005</v>
      </c>
    </row>
    <row r="7" spans="1:23" x14ac:dyDescent="0.25">
      <c r="A7" s="34" t="s">
        <v>30</v>
      </c>
      <c r="B7" s="263"/>
      <c r="C7" s="263"/>
      <c r="D7" s="263"/>
      <c r="E7" s="289"/>
      <c r="F7" s="273"/>
      <c r="G7" s="93">
        <v>7.2051999999999991E-2</v>
      </c>
      <c r="H7" s="263"/>
      <c r="I7" s="263"/>
      <c r="J7" s="263"/>
      <c r="K7" s="273"/>
      <c r="L7" s="273"/>
      <c r="M7" s="94">
        <f t="shared" ref="M7:M11" si="0">G7+$H$6+$I$6+$J$6</f>
        <v>0.18243599999999999</v>
      </c>
      <c r="N7" s="263"/>
      <c r="O7" s="293"/>
      <c r="P7" s="95">
        <v>4.9599999999999998E-2</v>
      </c>
      <c r="Q7" s="263"/>
      <c r="R7" s="96">
        <f t="shared" ref="R7:R11" si="1">$N$6+$O$6+P7+$Q$6</f>
        <v>6.9586999999999996E-2</v>
      </c>
      <c r="S7" s="113">
        <f t="shared" ref="S7:S10" si="2">$E$6+M7+R7</f>
        <v>0.69679499999999994</v>
      </c>
      <c r="T7" s="53">
        <v>0.17499999999999999</v>
      </c>
      <c r="U7" s="97">
        <f t="shared" ref="U7:U10" si="3">S7+T7</f>
        <v>0.87179499999999988</v>
      </c>
      <c r="V7" s="125">
        <v>360</v>
      </c>
      <c r="W7" s="114">
        <f t="shared" ref="W7:W10" si="4">U7*V7</f>
        <v>313.84619999999995</v>
      </c>
    </row>
    <row r="8" spans="1:23" x14ac:dyDescent="0.25">
      <c r="A8" s="34" t="s">
        <v>31</v>
      </c>
      <c r="B8" s="263"/>
      <c r="C8" s="263"/>
      <c r="D8" s="263"/>
      <c r="E8" s="289"/>
      <c r="F8" s="273"/>
      <c r="G8" s="93">
        <v>6.5948000000000007E-2</v>
      </c>
      <c r="H8" s="263"/>
      <c r="I8" s="263"/>
      <c r="J8" s="263"/>
      <c r="K8" s="273"/>
      <c r="L8" s="273"/>
      <c r="M8" s="94">
        <f t="shared" si="0"/>
        <v>0.17633200000000002</v>
      </c>
      <c r="N8" s="263"/>
      <c r="O8" s="293"/>
      <c r="P8" s="95">
        <v>2.93E-2</v>
      </c>
      <c r="Q8" s="263"/>
      <c r="R8" s="96">
        <f t="shared" si="1"/>
        <v>4.9286999999999997E-2</v>
      </c>
      <c r="S8" s="113">
        <f t="shared" si="2"/>
        <v>0.67039099999999996</v>
      </c>
      <c r="T8" s="53">
        <v>0.17</v>
      </c>
      <c r="U8" s="97">
        <f t="shared" si="3"/>
        <v>0.840391</v>
      </c>
      <c r="V8" s="125">
        <v>1080</v>
      </c>
      <c r="W8" s="114">
        <f t="shared" si="4"/>
        <v>907.62228000000005</v>
      </c>
    </row>
    <row r="9" spans="1:23" x14ac:dyDescent="0.25">
      <c r="A9" s="34" t="s">
        <v>32</v>
      </c>
      <c r="B9" s="263"/>
      <c r="C9" s="263"/>
      <c r="D9" s="263"/>
      <c r="E9" s="289"/>
      <c r="F9" s="273"/>
      <c r="G9" s="93">
        <v>6.6224999999999992E-2</v>
      </c>
      <c r="H9" s="263"/>
      <c r="I9" s="263"/>
      <c r="J9" s="263"/>
      <c r="K9" s="273"/>
      <c r="L9" s="273"/>
      <c r="M9" s="94">
        <f t="shared" si="0"/>
        <v>0.17660899999999999</v>
      </c>
      <c r="N9" s="263"/>
      <c r="O9" s="293"/>
      <c r="P9" s="95">
        <v>2.3699999999999999E-2</v>
      </c>
      <c r="Q9" s="263"/>
      <c r="R9" s="96">
        <f t="shared" si="1"/>
        <v>4.3686999999999997E-2</v>
      </c>
      <c r="S9" s="113">
        <f t="shared" si="2"/>
        <v>0.66506799999999999</v>
      </c>
      <c r="T9" s="53">
        <v>0.186</v>
      </c>
      <c r="U9" s="97">
        <f t="shared" si="3"/>
        <v>0.85106799999999994</v>
      </c>
      <c r="V9" s="125">
        <v>3440</v>
      </c>
      <c r="W9" s="114">
        <f t="shared" si="4"/>
        <v>2927.6739199999997</v>
      </c>
    </row>
    <row r="10" spans="1:23" x14ac:dyDescent="0.25">
      <c r="A10" s="34" t="s">
        <v>33</v>
      </c>
      <c r="B10" s="263"/>
      <c r="C10" s="263"/>
      <c r="D10" s="263"/>
      <c r="E10" s="289"/>
      <c r="F10" s="273"/>
      <c r="G10" s="93">
        <v>4.9484E-2</v>
      </c>
      <c r="H10" s="263"/>
      <c r="I10" s="263"/>
      <c r="J10" s="263"/>
      <c r="K10" s="273"/>
      <c r="L10" s="273"/>
      <c r="M10" s="94">
        <f t="shared" si="0"/>
        <v>0.15986800000000001</v>
      </c>
      <c r="N10" s="263"/>
      <c r="O10" s="293"/>
      <c r="P10" s="95">
        <v>1.7000000000000001E-2</v>
      </c>
      <c r="Q10" s="263"/>
      <c r="R10" s="96">
        <f t="shared" si="1"/>
        <v>3.6986999999999999E-2</v>
      </c>
      <c r="S10" s="113">
        <f t="shared" si="2"/>
        <v>0.64162700000000006</v>
      </c>
      <c r="T10" s="53">
        <v>0.186</v>
      </c>
      <c r="U10" s="97">
        <f t="shared" si="3"/>
        <v>0.82762700000000011</v>
      </c>
      <c r="V10" s="125">
        <v>25000</v>
      </c>
      <c r="W10" s="114">
        <f t="shared" si="4"/>
        <v>20690.675000000003</v>
      </c>
    </row>
    <row r="11" spans="1:23" x14ac:dyDescent="0.25">
      <c r="A11" s="34" t="s">
        <v>34</v>
      </c>
      <c r="B11" s="274"/>
      <c r="C11" s="274"/>
      <c r="D11" s="274"/>
      <c r="E11" s="290"/>
      <c r="F11" s="283"/>
      <c r="G11" s="93">
        <v>2.5066000000000001E-2</v>
      </c>
      <c r="H11" s="274"/>
      <c r="I11" s="274"/>
      <c r="J11" s="274"/>
      <c r="K11" s="283"/>
      <c r="L11" s="283"/>
      <c r="M11" s="94">
        <f t="shared" si="0"/>
        <v>0.13545000000000001</v>
      </c>
      <c r="N11" s="274"/>
      <c r="O11" s="294"/>
      <c r="P11" s="98">
        <v>7.1000000000000004E-3</v>
      </c>
      <c r="Q11" s="274"/>
      <c r="R11" s="96">
        <f t="shared" si="1"/>
        <v>2.7087E-2</v>
      </c>
      <c r="S11" s="115"/>
      <c r="T11" s="116"/>
      <c r="U11" s="117"/>
      <c r="V11" s="118"/>
      <c r="W11" s="119"/>
    </row>
    <row r="12" spans="1:23" x14ac:dyDescent="0.25">
      <c r="A12" s="99" t="s">
        <v>74</v>
      </c>
      <c r="B12" s="100"/>
      <c r="C12" s="101"/>
      <c r="D12" s="100"/>
      <c r="E12" s="102"/>
      <c r="F12" s="103"/>
      <c r="G12" s="100"/>
      <c r="H12" s="104"/>
      <c r="I12" s="100"/>
      <c r="J12" s="100"/>
      <c r="K12" s="100"/>
      <c r="L12" s="100"/>
      <c r="M12" s="102"/>
      <c r="N12" s="102"/>
      <c r="O12" s="101"/>
      <c r="P12" s="104"/>
      <c r="Q12" s="105"/>
      <c r="R12" s="105"/>
      <c r="S12" s="122"/>
      <c r="T12" s="123"/>
      <c r="U12" s="122"/>
      <c r="V12" s="5">
        <f>SUM(V6:V11)</f>
        <v>30000</v>
      </c>
      <c r="W12" s="124">
        <f>SUM(W6:W11)</f>
        <v>24914.114560000002</v>
      </c>
    </row>
    <row r="13" spans="1:23" x14ac:dyDescent="0.25">
      <c r="A13" s="106" t="s">
        <v>75</v>
      </c>
      <c r="B13" s="273" t="s">
        <v>73</v>
      </c>
      <c r="C13" s="273" t="s">
        <v>73</v>
      </c>
      <c r="D13" s="271">
        <v>57.43</v>
      </c>
      <c r="E13" s="275">
        <v>57.43</v>
      </c>
      <c r="F13" s="107">
        <v>67.290000000000006</v>
      </c>
      <c r="G13" s="273" t="s">
        <v>73</v>
      </c>
      <c r="H13" s="273" t="s">
        <v>73</v>
      </c>
      <c r="I13" s="273" t="s">
        <v>73</v>
      </c>
      <c r="J13" s="273" t="s">
        <v>73</v>
      </c>
      <c r="K13" s="284">
        <f>C152</f>
        <v>0</v>
      </c>
      <c r="L13" s="284">
        <f>C153</f>
        <v>0</v>
      </c>
      <c r="M13" s="108">
        <v>66.960000000000008</v>
      </c>
      <c r="N13" s="280" t="s">
        <v>73</v>
      </c>
      <c r="O13" s="280" t="s">
        <v>73</v>
      </c>
      <c r="P13" s="271">
        <v>-21.63</v>
      </c>
      <c r="Q13" s="273" t="s">
        <v>73</v>
      </c>
      <c r="R13" s="275">
        <v>-21.63</v>
      </c>
      <c r="S13" s="122"/>
      <c r="T13" s="123"/>
      <c r="U13" s="122"/>
      <c r="V13" s="122"/>
      <c r="W13" s="122"/>
    </row>
    <row r="14" spans="1:23" x14ac:dyDescent="0.25">
      <c r="A14" s="106" t="s">
        <v>76</v>
      </c>
      <c r="B14" s="263"/>
      <c r="C14" s="263"/>
      <c r="D14" s="271"/>
      <c r="E14" s="275"/>
      <c r="F14" s="107">
        <v>469.33000000000004</v>
      </c>
      <c r="G14" s="263"/>
      <c r="H14" s="263"/>
      <c r="I14" s="263"/>
      <c r="J14" s="263"/>
      <c r="K14" s="284"/>
      <c r="L14" s="284"/>
      <c r="M14" s="108">
        <v>469.00000000000006</v>
      </c>
      <c r="N14" s="281"/>
      <c r="O14" s="281"/>
      <c r="P14" s="271"/>
      <c r="Q14" s="263"/>
      <c r="R14" s="275"/>
      <c r="S14" s="122"/>
      <c r="T14" s="123"/>
      <c r="U14" s="122"/>
      <c r="V14" s="126" t="s">
        <v>80</v>
      </c>
      <c r="W14" s="127">
        <f>W12/V12</f>
        <v>0.83047048533333334</v>
      </c>
    </row>
    <row r="15" spans="1:23" x14ac:dyDescent="0.25">
      <c r="A15" s="109" t="s">
        <v>77</v>
      </c>
      <c r="B15" s="274"/>
      <c r="C15" s="274"/>
      <c r="D15" s="272"/>
      <c r="E15" s="276"/>
      <c r="F15" s="110">
        <v>964.39</v>
      </c>
      <c r="G15" s="274"/>
      <c r="H15" s="274"/>
      <c r="I15" s="274"/>
      <c r="J15" s="274"/>
      <c r="K15" s="285"/>
      <c r="L15" s="285"/>
      <c r="M15" s="111">
        <v>964.06</v>
      </c>
      <c r="N15" s="282"/>
      <c r="O15" s="282"/>
      <c r="P15" s="272"/>
      <c r="Q15" s="274"/>
      <c r="R15" s="276"/>
    </row>
    <row r="16" spans="1:23" x14ac:dyDescent="0.25">
      <c r="A16" s="112" t="s">
        <v>78</v>
      </c>
      <c r="B16" s="277" t="s">
        <v>79</v>
      </c>
      <c r="C16" s="278"/>
      <c r="D16" s="278"/>
      <c r="E16" s="278"/>
      <c r="F16" s="278"/>
      <c r="G16" s="278"/>
      <c r="H16" s="278"/>
      <c r="I16" s="278"/>
      <c r="J16" s="278"/>
      <c r="K16" s="278"/>
      <c r="L16" s="278"/>
      <c r="M16" s="278"/>
      <c r="N16" s="278"/>
      <c r="O16" s="278"/>
      <c r="P16" s="278"/>
      <c r="Q16" s="278"/>
      <c r="R16" s="279"/>
    </row>
    <row r="20" spans="2:3" x14ac:dyDescent="0.25">
      <c r="B20" s="155" t="s">
        <v>305</v>
      </c>
      <c r="C20" s="158">
        <f>$E$13+M13+$R$13</f>
        <v>102.76000000000002</v>
      </c>
    </row>
    <row r="21" spans="2:3" x14ac:dyDescent="0.25">
      <c r="B21" s="155" t="s">
        <v>306</v>
      </c>
      <c r="C21" s="158">
        <f t="shared" ref="C21:C22" si="5">$E$13+M14+$R$13</f>
        <v>504.80000000000007</v>
      </c>
    </row>
    <row r="22" spans="2:3" x14ac:dyDescent="0.25">
      <c r="B22" s="155" t="s">
        <v>307</v>
      </c>
      <c r="C22" s="158">
        <f t="shared" si="5"/>
        <v>999.8599999999999</v>
      </c>
    </row>
  </sheetData>
  <mergeCells count="32">
    <mergeCell ref="P13:P15"/>
    <mergeCell ref="Q13:Q15"/>
    <mergeCell ref="R13:R15"/>
    <mergeCell ref="B16:R16"/>
    <mergeCell ref="I13:I15"/>
    <mergeCell ref="J13:J15"/>
    <mergeCell ref="K13:K15"/>
    <mergeCell ref="L13:L15"/>
    <mergeCell ref="N13:N15"/>
    <mergeCell ref="O13:O15"/>
    <mergeCell ref="B13:B15"/>
    <mergeCell ref="C13:C15"/>
    <mergeCell ref="D13:D15"/>
    <mergeCell ref="E13:E15"/>
    <mergeCell ref="G13:G15"/>
    <mergeCell ref="H13:H15"/>
    <mergeCell ref="Q6:Q11"/>
    <mergeCell ref="E2:E4"/>
    <mergeCell ref="M2:M4"/>
    <mergeCell ref="R2:R4"/>
    <mergeCell ref="B6:B11"/>
    <mergeCell ref="C6:C11"/>
    <mergeCell ref="D6:D11"/>
    <mergeCell ref="E6:E11"/>
    <mergeCell ref="F6:F11"/>
    <mergeCell ref="H6:H11"/>
    <mergeCell ref="I6:I11"/>
    <mergeCell ref="J6:J11"/>
    <mergeCell ref="K6:K11"/>
    <mergeCell ref="L6:L11"/>
    <mergeCell ref="N6:N11"/>
    <mergeCell ref="O6:O1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CD207-1E32-4B20-8258-BDAE917D61BA}">
  <sheetPr>
    <tabColor rgb="FF92D050"/>
  </sheetPr>
  <dimension ref="A1:W22"/>
  <sheetViews>
    <sheetView workbookViewId="0">
      <selection activeCell="U23" sqref="U23"/>
    </sheetView>
  </sheetViews>
  <sheetFormatPr defaultRowHeight="15" x14ac:dyDescent="0.25"/>
  <cols>
    <col min="1" max="1" width="22.28515625" customWidth="1"/>
    <col min="22" max="22" width="11.85546875" bestFit="1" customWidth="1"/>
    <col min="23" max="23" width="12.42578125" bestFit="1" customWidth="1"/>
  </cols>
  <sheetData>
    <row r="1" spans="1:23" ht="15.75" x14ac:dyDescent="0.25">
      <c r="A1" s="74" t="s">
        <v>62</v>
      </c>
      <c r="B1" s="32"/>
      <c r="C1" s="32"/>
      <c r="D1" s="32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</row>
    <row r="2" spans="1:23" ht="25.5" customHeight="1" x14ac:dyDescent="0.25">
      <c r="A2" s="77" t="s">
        <v>63</v>
      </c>
      <c r="B2" s="32"/>
      <c r="C2" s="32"/>
      <c r="D2" s="32"/>
      <c r="E2" s="286" t="s">
        <v>64</v>
      </c>
      <c r="F2" s="75"/>
      <c r="G2" s="75"/>
      <c r="H2" s="75"/>
      <c r="I2" s="75"/>
      <c r="J2" s="75"/>
      <c r="K2" s="75"/>
      <c r="L2" s="75"/>
      <c r="M2" s="286" t="s">
        <v>65</v>
      </c>
      <c r="N2" s="78"/>
      <c r="O2" s="75"/>
      <c r="P2" s="75"/>
      <c r="Q2" s="75"/>
      <c r="R2" s="286" t="s">
        <v>66</v>
      </c>
    </row>
    <row r="3" spans="1:23" x14ac:dyDescent="0.25">
      <c r="A3" s="79" t="s">
        <v>67</v>
      </c>
      <c r="B3" s="32"/>
      <c r="C3" s="32"/>
      <c r="D3" s="32"/>
      <c r="E3" s="287"/>
      <c r="F3" s="75"/>
      <c r="G3" s="75"/>
      <c r="H3" s="75"/>
      <c r="I3" s="75"/>
      <c r="J3" s="75"/>
      <c r="K3" s="75"/>
      <c r="L3" s="75"/>
      <c r="M3" s="287"/>
      <c r="N3" s="78"/>
      <c r="O3" s="75"/>
      <c r="P3" s="75"/>
      <c r="Q3" s="75"/>
      <c r="R3" s="287"/>
    </row>
    <row r="4" spans="1:23" x14ac:dyDescent="0.25">
      <c r="A4" s="220" t="s">
        <v>625</v>
      </c>
      <c r="B4" s="81" t="s">
        <v>39</v>
      </c>
      <c r="C4" s="82" t="s">
        <v>40</v>
      </c>
      <c r="D4" s="82" t="s">
        <v>41</v>
      </c>
      <c r="E4" s="288"/>
      <c r="F4" s="83" t="s">
        <v>46</v>
      </c>
      <c r="G4" s="84" t="s">
        <v>47</v>
      </c>
      <c r="H4" s="84" t="s">
        <v>48</v>
      </c>
      <c r="I4" s="84" t="s">
        <v>53</v>
      </c>
      <c r="J4" s="84" t="s">
        <v>49</v>
      </c>
      <c r="K4" s="85" t="s">
        <v>68</v>
      </c>
      <c r="L4" s="86" t="s">
        <v>69</v>
      </c>
      <c r="M4" s="288"/>
      <c r="N4" s="84" t="s">
        <v>51</v>
      </c>
      <c r="O4" s="83" t="s">
        <v>52</v>
      </c>
      <c r="P4" s="87" t="s">
        <v>50</v>
      </c>
      <c r="Q4" s="87" t="s">
        <v>70</v>
      </c>
      <c r="R4" s="288"/>
    </row>
    <row r="5" spans="1:23" ht="25.5" x14ac:dyDescent="0.25">
      <c r="A5" s="33" t="s">
        <v>71</v>
      </c>
      <c r="B5" s="88"/>
      <c r="C5" s="89"/>
      <c r="D5" s="89"/>
      <c r="E5" s="90"/>
      <c r="F5" s="89"/>
      <c r="G5" s="88"/>
      <c r="H5" s="89"/>
      <c r="I5" s="89"/>
      <c r="J5" s="89"/>
      <c r="K5" s="89"/>
      <c r="L5" s="89"/>
      <c r="M5" s="91"/>
      <c r="N5" s="91"/>
      <c r="O5" s="88"/>
      <c r="P5" s="89"/>
      <c r="Q5" s="92"/>
      <c r="R5" s="92"/>
      <c r="S5" s="67" t="s">
        <v>81</v>
      </c>
      <c r="T5" s="120" t="s">
        <v>57</v>
      </c>
      <c r="U5" s="67" t="s">
        <v>82</v>
      </c>
      <c r="V5" s="67" t="s">
        <v>83</v>
      </c>
      <c r="W5" s="121" t="s">
        <v>84</v>
      </c>
    </row>
    <row r="6" spans="1:23" x14ac:dyDescent="0.25">
      <c r="A6" s="34" t="s">
        <v>72</v>
      </c>
      <c r="B6" s="263">
        <v>0.41883900000000002</v>
      </c>
      <c r="C6" s="263">
        <v>3.3815999999999999E-2</v>
      </c>
      <c r="D6" s="263">
        <v>7.9459999999999999E-3</v>
      </c>
      <c r="E6" s="309">
        <v>0.46060100000000004</v>
      </c>
      <c r="F6" s="273" t="s">
        <v>73</v>
      </c>
      <c r="G6" s="93">
        <v>0</v>
      </c>
      <c r="H6" s="263">
        <v>7.4360999999999997E-2</v>
      </c>
      <c r="I6" s="263">
        <v>1.186E-3</v>
      </c>
      <c r="J6" s="263">
        <v>3.4837E-2</v>
      </c>
      <c r="K6" s="273" t="s">
        <v>73</v>
      </c>
      <c r="L6" s="273" t="s">
        <v>73</v>
      </c>
      <c r="M6" s="94">
        <f>G6+$H$6+$I$6+$J$6</f>
        <v>0.11038400000000001</v>
      </c>
      <c r="N6" s="263">
        <v>0</v>
      </c>
      <c r="O6" s="263">
        <v>1.2695E-2</v>
      </c>
      <c r="P6" s="95">
        <v>0</v>
      </c>
      <c r="Q6" s="263">
        <v>7.2920000000000007E-3</v>
      </c>
      <c r="R6" s="96">
        <f>$N$6+$O$6+P6+$Q$6</f>
        <v>1.9987000000000001E-2</v>
      </c>
      <c r="S6" s="113">
        <f>$E$6+M6+R6</f>
        <v>0.59097200000000005</v>
      </c>
      <c r="T6" s="53">
        <v>4.3999999999999997E-2</v>
      </c>
      <c r="U6" s="97">
        <f>S6+T6</f>
        <v>0.63497200000000009</v>
      </c>
      <c r="V6" s="125">
        <v>120</v>
      </c>
      <c r="W6" s="114">
        <f>U6*V6</f>
        <v>76.196640000000016</v>
      </c>
    </row>
    <row r="7" spans="1:23" x14ac:dyDescent="0.25">
      <c r="A7" s="34" t="s">
        <v>30</v>
      </c>
      <c r="B7" s="263"/>
      <c r="C7" s="263"/>
      <c r="D7" s="263"/>
      <c r="E7" s="309"/>
      <c r="F7" s="273"/>
      <c r="G7" s="93">
        <v>7.2051999999999991E-2</v>
      </c>
      <c r="H7" s="263"/>
      <c r="I7" s="263"/>
      <c r="J7" s="263"/>
      <c r="K7" s="273"/>
      <c r="L7" s="273"/>
      <c r="M7" s="94">
        <f t="shared" ref="M7:M11" si="0">G7+$H$6+$I$6+$J$6</f>
        <v>0.18243599999999999</v>
      </c>
      <c r="N7" s="263"/>
      <c r="O7" s="263"/>
      <c r="P7" s="95">
        <v>4.9599999999999998E-2</v>
      </c>
      <c r="Q7" s="263"/>
      <c r="R7" s="96">
        <f t="shared" ref="R7:R11" si="1">$N$6+$O$6+P7+$Q$6</f>
        <v>6.9586999999999996E-2</v>
      </c>
      <c r="S7" s="113">
        <f t="shared" ref="S7:S10" si="2">$E$6+M7+R7</f>
        <v>0.71262400000000004</v>
      </c>
      <c r="T7" s="53">
        <v>0.17499999999999999</v>
      </c>
      <c r="U7" s="97">
        <f t="shared" ref="U7:U10" si="3">S7+T7</f>
        <v>0.88762399999999997</v>
      </c>
      <c r="V7" s="125">
        <v>360</v>
      </c>
      <c r="W7" s="114">
        <f t="shared" ref="W7:W10" si="4">U7*V7</f>
        <v>319.54464000000002</v>
      </c>
    </row>
    <row r="8" spans="1:23" x14ac:dyDescent="0.25">
      <c r="A8" s="34" t="s">
        <v>31</v>
      </c>
      <c r="B8" s="263"/>
      <c r="C8" s="263"/>
      <c r="D8" s="263"/>
      <c r="E8" s="309"/>
      <c r="F8" s="273"/>
      <c r="G8" s="93">
        <v>6.5948000000000007E-2</v>
      </c>
      <c r="H8" s="263"/>
      <c r="I8" s="263"/>
      <c r="J8" s="263"/>
      <c r="K8" s="273"/>
      <c r="L8" s="273"/>
      <c r="M8" s="94">
        <f t="shared" si="0"/>
        <v>0.17633200000000002</v>
      </c>
      <c r="N8" s="263"/>
      <c r="O8" s="263"/>
      <c r="P8" s="95">
        <v>2.93E-2</v>
      </c>
      <c r="Q8" s="263"/>
      <c r="R8" s="96">
        <f t="shared" si="1"/>
        <v>4.9286999999999997E-2</v>
      </c>
      <c r="S8" s="113">
        <f t="shared" si="2"/>
        <v>0.68622000000000005</v>
      </c>
      <c r="T8" s="53">
        <v>0.17</v>
      </c>
      <c r="U8" s="97">
        <f t="shared" si="3"/>
        <v>0.85622000000000009</v>
      </c>
      <c r="V8" s="125">
        <v>1080</v>
      </c>
      <c r="W8" s="114">
        <f t="shared" si="4"/>
        <v>924.71760000000006</v>
      </c>
    </row>
    <row r="9" spans="1:23" x14ac:dyDescent="0.25">
      <c r="A9" s="34" t="s">
        <v>32</v>
      </c>
      <c r="B9" s="263"/>
      <c r="C9" s="263"/>
      <c r="D9" s="263"/>
      <c r="E9" s="309"/>
      <c r="F9" s="273"/>
      <c r="G9" s="93">
        <v>6.6224999999999992E-2</v>
      </c>
      <c r="H9" s="263"/>
      <c r="I9" s="263"/>
      <c r="J9" s="263"/>
      <c r="K9" s="273"/>
      <c r="L9" s="273"/>
      <c r="M9" s="94">
        <f t="shared" si="0"/>
        <v>0.17660899999999999</v>
      </c>
      <c r="N9" s="263"/>
      <c r="O9" s="263"/>
      <c r="P9" s="95">
        <v>2.3699999999999999E-2</v>
      </c>
      <c r="Q9" s="263"/>
      <c r="R9" s="96">
        <f t="shared" si="1"/>
        <v>4.3686999999999997E-2</v>
      </c>
      <c r="S9" s="113">
        <f t="shared" si="2"/>
        <v>0.68089700000000009</v>
      </c>
      <c r="T9" s="53">
        <v>0.186</v>
      </c>
      <c r="U9" s="97">
        <f t="shared" si="3"/>
        <v>0.86689700000000003</v>
      </c>
      <c r="V9" s="125">
        <v>3440</v>
      </c>
      <c r="W9" s="114">
        <f t="shared" si="4"/>
        <v>2982.1256800000001</v>
      </c>
    </row>
    <row r="10" spans="1:23" x14ac:dyDescent="0.25">
      <c r="A10" s="34" t="s">
        <v>33</v>
      </c>
      <c r="B10" s="263"/>
      <c r="C10" s="263"/>
      <c r="D10" s="263"/>
      <c r="E10" s="309"/>
      <c r="F10" s="273"/>
      <c r="G10" s="93">
        <v>4.9484E-2</v>
      </c>
      <c r="H10" s="263"/>
      <c r="I10" s="263"/>
      <c r="J10" s="263"/>
      <c r="K10" s="273"/>
      <c r="L10" s="273"/>
      <c r="M10" s="94">
        <f t="shared" si="0"/>
        <v>0.15986800000000001</v>
      </c>
      <c r="N10" s="263"/>
      <c r="O10" s="263"/>
      <c r="P10" s="95">
        <v>1.7000000000000001E-2</v>
      </c>
      <c r="Q10" s="263"/>
      <c r="R10" s="96">
        <f t="shared" si="1"/>
        <v>3.6986999999999999E-2</v>
      </c>
      <c r="S10" s="113">
        <f t="shared" si="2"/>
        <v>0.65745600000000004</v>
      </c>
      <c r="T10" s="53">
        <v>0.186</v>
      </c>
      <c r="U10" s="97">
        <f t="shared" si="3"/>
        <v>0.84345599999999998</v>
      </c>
      <c r="V10" s="125">
        <v>25000</v>
      </c>
      <c r="W10" s="114">
        <f t="shared" si="4"/>
        <v>21086.399999999998</v>
      </c>
    </row>
    <row r="11" spans="1:23" x14ac:dyDescent="0.25">
      <c r="A11" s="34" t="s">
        <v>34</v>
      </c>
      <c r="B11" s="274"/>
      <c r="C11" s="274"/>
      <c r="D11" s="274"/>
      <c r="E11" s="310"/>
      <c r="F11" s="283"/>
      <c r="G11" s="93">
        <v>2.5066000000000001E-2</v>
      </c>
      <c r="H11" s="274"/>
      <c r="I11" s="274"/>
      <c r="J11" s="274"/>
      <c r="K11" s="283"/>
      <c r="L11" s="283"/>
      <c r="M11" s="94">
        <f t="shared" si="0"/>
        <v>0.13545000000000001</v>
      </c>
      <c r="N11" s="274"/>
      <c r="O11" s="274"/>
      <c r="P11" s="98">
        <v>7.1000000000000004E-3</v>
      </c>
      <c r="Q11" s="274"/>
      <c r="R11" s="96">
        <f t="shared" si="1"/>
        <v>2.7087E-2</v>
      </c>
      <c r="S11" s="115"/>
      <c r="T11" s="116"/>
      <c r="U11" s="117"/>
      <c r="V11" s="118"/>
      <c r="W11" s="119"/>
    </row>
    <row r="12" spans="1:23" x14ac:dyDescent="0.25">
      <c r="A12" s="99" t="s">
        <v>74</v>
      </c>
      <c r="B12" s="100"/>
      <c r="C12" s="101"/>
      <c r="D12" s="100"/>
      <c r="E12" s="102"/>
      <c r="F12" s="103"/>
      <c r="G12" s="100"/>
      <c r="H12" s="104"/>
      <c r="I12" s="100"/>
      <c r="J12" s="100"/>
      <c r="K12" s="100"/>
      <c r="L12" s="100"/>
      <c r="M12" s="102"/>
      <c r="N12" s="102"/>
      <c r="O12" s="101"/>
      <c r="P12" s="104"/>
      <c r="Q12" s="105"/>
      <c r="R12" s="105"/>
      <c r="S12" s="122"/>
      <c r="T12" s="123"/>
      <c r="U12" s="122"/>
      <c r="V12" s="5">
        <f>SUM(V6:V11)</f>
        <v>30000</v>
      </c>
      <c r="W12" s="124">
        <f>SUM(W6:W11)</f>
        <v>25388.984559999997</v>
      </c>
    </row>
    <row r="13" spans="1:23" x14ac:dyDescent="0.25">
      <c r="A13" s="106" t="s">
        <v>75</v>
      </c>
      <c r="B13" s="273" t="s">
        <v>73</v>
      </c>
      <c r="C13" s="273" t="s">
        <v>73</v>
      </c>
      <c r="D13" s="307">
        <v>57.43</v>
      </c>
      <c r="E13" s="275">
        <v>57.43</v>
      </c>
      <c r="F13" s="107">
        <v>67.290000000000006</v>
      </c>
      <c r="G13" s="273" t="s">
        <v>73</v>
      </c>
      <c r="H13" s="273" t="s">
        <v>73</v>
      </c>
      <c r="I13" s="273" t="s">
        <v>73</v>
      </c>
      <c r="J13" s="273" t="s">
        <v>73</v>
      </c>
      <c r="K13" s="271">
        <v>-0.33</v>
      </c>
      <c r="L13" s="271">
        <v>0</v>
      </c>
      <c r="M13" s="108">
        <v>66.960000000000008</v>
      </c>
      <c r="N13" s="273" t="s">
        <v>73</v>
      </c>
      <c r="O13" s="273" t="s">
        <v>73</v>
      </c>
      <c r="P13" s="271">
        <v>-21.63</v>
      </c>
      <c r="Q13" s="273" t="s">
        <v>73</v>
      </c>
      <c r="R13" s="275">
        <v>-21.63</v>
      </c>
      <c r="S13" s="122"/>
      <c r="T13" s="123"/>
      <c r="U13" s="122"/>
      <c r="V13" s="122"/>
      <c r="W13" s="122"/>
    </row>
    <row r="14" spans="1:23" x14ac:dyDescent="0.25">
      <c r="A14" s="106" t="s">
        <v>76</v>
      </c>
      <c r="B14" s="273"/>
      <c r="C14" s="273"/>
      <c r="D14" s="307"/>
      <c r="E14" s="275"/>
      <c r="F14" s="107">
        <v>469.33000000000004</v>
      </c>
      <c r="G14" s="273"/>
      <c r="H14" s="273"/>
      <c r="I14" s="273"/>
      <c r="J14" s="273"/>
      <c r="K14" s="271"/>
      <c r="L14" s="271"/>
      <c r="M14" s="108">
        <v>469.00000000000006</v>
      </c>
      <c r="N14" s="273"/>
      <c r="O14" s="273"/>
      <c r="P14" s="271"/>
      <c r="Q14" s="273"/>
      <c r="R14" s="275"/>
      <c r="S14" s="122"/>
      <c r="T14" s="123"/>
      <c r="U14" s="122"/>
      <c r="V14" s="126" t="s">
        <v>80</v>
      </c>
      <c r="W14" s="127">
        <f>W12/V12</f>
        <v>0.84629948533333321</v>
      </c>
    </row>
    <row r="15" spans="1:23" x14ac:dyDescent="0.25">
      <c r="A15" s="109" t="s">
        <v>77</v>
      </c>
      <c r="B15" s="283"/>
      <c r="C15" s="283"/>
      <c r="D15" s="308"/>
      <c r="E15" s="276"/>
      <c r="F15" s="110">
        <v>964.39</v>
      </c>
      <c r="G15" s="283"/>
      <c r="H15" s="283"/>
      <c r="I15" s="283"/>
      <c r="J15" s="283"/>
      <c r="K15" s="272"/>
      <c r="L15" s="272"/>
      <c r="M15" s="111">
        <v>964.06</v>
      </c>
      <c r="N15" s="283"/>
      <c r="O15" s="283"/>
      <c r="P15" s="272"/>
      <c r="Q15" s="283"/>
      <c r="R15" s="276"/>
    </row>
    <row r="16" spans="1:23" ht="15" customHeight="1" x14ac:dyDescent="0.25">
      <c r="A16" s="112" t="s">
        <v>78</v>
      </c>
      <c r="B16" s="277" t="s">
        <v>79</v>
      </c>
      <c r="C16" s="278"/>
      <c r="D16" s="278"/>
      <c r="E16" s="278"/>
      <c r="F16" s="278"/>
      <c r="G16" s="278"/>
      <c r="H16" s="278"/>
      <c r="I16" s="278"/>
      <c r="J16" s="278"/>
      <c r="K16" s="278"/>
      <c r="L16" s="278"/>
      <c r="M16" s="278"/>
      <c r="N16" s="278"/>
      <c r="O16" s="278"/>
      <c r="P16" s="278"/>
      <c r="Q16" s="278"/>
      <c r="R16" s="279"/>
    </row>
    <row r="20" spans="2:3" x14ac:dyDescent="0.25">
      <c r="B20" s="155" t="s">
        <v>305</v>
      </c>
      <c r="C20" s="158">
        <f>$E$13+M13+$R$13</f>
        <v>102.76000000000002</v>
      </c>
    </row>
    <row r="21" spans="2:3" x14ac:dyDescent="0.25">
      <c r="B21" s="155" t="s">
        <v>306</v>
      </c>
      <c r="C21" s="158">
        <f t="shared" ref="C21:C22" si="5">$E$13+M14+$R$13</f>
        <v>504.80000000000007</v>
      </c>
    </row>
    <row r="22" spans="2:3" x14ac:dyDescent="0.25">
      <c r="B22" s="155" t="s">
        <v>307</v>
      </c>
      <c r="C22" s="158">
        <f t="shared" si="5"/>
        <v>999.8599999999999</v>
      </c>
    </row>
  </sheetData>
  <mergeCells count="32">
    <mergeCell ref="Q6:Q11"/>
    <mergeCell ref="E2:E4"/>
    <mergeCell ref="M2:M4"/>
    <mergeCell ref="R2:R4"/>
    <mergeCell ref="B6:B11"/>
    <mergeCell ref="C6:C11"/>
    <mergeCell ref="D6:D11"/>
    <mergeCell ref="E6:E11"/>
    <mergeCell ref="F6:F11"/>
    <mergeCell ref="H6:H11"/>
    <mergeCell ref="I6:I11"/>
    <mergeCell ref="J6:J11"/>
    <mergeCell ref="K6:K11"/>
    <mergeCell ref="L6:L11"/>
    <mergeCell ref="N6:N11"/>
    <mergeCell ref="O6:O11"/>
    <mergeCell ref="P13:P15"/>
    <mergeCell ref="Q13:Q15"/>
    <mergeCell ref="R13:R15"/>
    <mergeCell ref="B16:R16"/>
    <mergeCell ref="I13:I15"/>
    <mergeCell ref="J13:J15"/>
    <mergeCell ref="K13:K15"/>
    <mergeCell ref="L13:L15"/>
    <mergeCell ref="N13:N15"/>
    <mergeCell ref="O13:O15"/>
    <mergeCell ref="B13:B15"/>
    <mergeCell ref="C13:C15"/>
    <mergeCell ref="D13:D15"/>
    <mergeCell ref="E13:E15"/>
    <mergeCell ref="G13:G15"/>
    <mergeCell ref="H13:H1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8BA57-5779-47EF-ACEF-6319A6281391}">
  <sheetPr>
    <tabColor rgb="FF92D050"/>
  </sheetPr>
  <dimension ref="A1:W22"/>
  <sheetViews>
    <sheetView workbookViewId="0">
      <selection activeCell="R29" sqref="R29"/>
    </sheetView>
  </sheetViews>
  <sheetFormatPr defaultRowHeight="15" x14ac:dyDescent="0.25"/>
  <cols>
    <col min="1" max="1" width="22.28515625" customWidth="1"/>
    <col min="22" max="22" width="11.85546875" bestFit="1" customWidth="1"/>
    <col min="23" max="23" width="12.42578125" bestFit="1" customWidth="1"/>
  </cols>
  <sheetData>
    <row r="1" spans="1:23" ht="15.75" x14ac:dyDescent="0.25">
      <c r="A1" s="74" t="s">
        <v>62</v>
      </c>
      <c r="B1" s="32"/>
      <c r="C1" s="32"/>
      <c r="D1" s="32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</row>
    <row r="2" spans="1:23" ht="25.5" x14ac:dyDescent="0.25">
      <c r="A2" s="77" t="s">
        <v>63</v>
      </c>
      <c r="B2" s="32"/>
      <c r="C2" s="32"/>
      <c r="D2" s="32"/>
      <c r="E2" s="286" t="s">
        <v>64</v>
      </c>
      <c r="F2" s="75"/>
      <c r="G2" s="75"/>
      <c r="H2" s="75"/>
      <c r="I2" s="75"/>
      <c r="J2" s="75"/>
      <c r="K2" s="75"/>
      <c r="L2" s="75"/>
      <c r="M2" s="286" t="s">
        <v>65</v>
      </c>
      <c r="N2" s="78"/>
      <c r="O2" s="75"/>
      <c r="P2" s="75"/>
      <c r="Q2" s="75"/>
      <c r="R2" s="286" t="s">
        <v>66</v>
      </c>
    </row>
    <row r="3" spans="1:23" x14ac:dyDescent="0.25">
      <c r="A3" s="79" t="s">
        <v>67</v>
      </c>
      <c r="B3" s="32"/>
      <c r="C3" s="32"/>
      <c r="D3" s="32"/>
      <c r="E3" s="287"/>
      <c r="F3" s="75"/>
      <c r="G3" s="75"/>
      <c r="H3" s="75"/>
      <c r="I3" s="75"/>
      <c r="J3" s="75"/>
      <c r="K3" s="75"/>
      <c r="L3" s="75"/>
      <c r="M3" s="287"/>
      <c r="N3" s="78"/>
      <c r="O3" s="75"/>
      <c r="P3" s="75"/>
      <c r="Q3" s="75"/>
      <c r="R3" s="287"/>
    </row>
    <row r="4" spans="1:23" x14ac:dyDescent="0.25">
      <c r="A4" s="220" t="s">
        <v>626</v>
      </c>
      <c r="B4" s="81" t="s">
        <v>39</v>
      </c>
      <c r="C4" s="82" t="s">
        <v>40</v>
      </c>
      <c r="D4" s="82" t="s">
        <v>41</v>
      </c>
      <c r="E4" s="288"/>
      <c r="F4" s="83" t="s">
        <v>46</v>
      </c>
      <c r="G4" s="84" t="s">
        <v>47</v>
      </c>
      <c r="H4" s="84" t="s">
        <v>48</v>
      </c>
      <c r="I4" s="84" t="s">
        <v>53</v>
      </c>
      <c r="J4" s="84" t="s">
        <v>49</v>
      </c>
      <c r="K4" s="85" t="s">
        <v>68</v>
      </c>
      <c r="L4" s="86" t="s">
        <v>69</v>
      </c>
      <c r="M4" s="288"/>
      <c r="N4" s="84" t="s">
        <v>51</v>
      </c>
      <c r="O4" s="83" t="s">
        <v>52</v>
      </c>
      <c r="P4" s="87" t="s">
        <v>50</v>
      </c>
      <c r="Q4" s="87" t="s">
        <v>70</v>
      </c>
      <c r="R4" s="288"/>
    </row>
    <row r="5" spans="1:23" ht="25.5" x14ac:dyDescent="0.25">
      <c r="A5" s="33" t="s">
        <v>71</v>
      </c>
      <c r="B5" s="88"/>
      <c r="C5" s="89"/>
      <c r="D5" s="89"/>
      <c r="E5" s="90"/>
      <c r="F5" s="89"/>
      <c r="G5" s="88"/>
      <c r="H5" s="89"/>
      <c r="I5" s="89"/>
      <c r="J5" s="89"/>
      <c r="K5" s="89"/>
      <c r="L5" s="89"/>
      <c r="M5" s="91"/>
      <c r="N5" s="91"/>
      <c r="O5" s="88"/>
      <c r="P5" s="89"/>
      <c r="Q5" s="92"/>
      <c r="R5" s="92"/>
      <c r="S5" s="67" t="s">
        <v>81</v>
      </c>
      <c r="T5" s="120" t="s">
        <v>57</v>
      </c>
      <c r="U5" s="67" t="s">
        <v>82</v>
      </c>
      <c r="V5" s="67" t="s">
        <v>83</v>
      </c>
      <c r="W5" s="121" t="s">
        <v>84</v>
      </c>
    </row>
    <row r="6" spans="1:23" x14ac:dyDescent="0.25">
      <c r="A6" s="34" t="s">
        <v>72</v>
      </c>
      <c r="B6" s="263">
        <v>0.39247799999999999</v>
      </c>
      <c r="C6" s="263">
        <v>3.3815999999999999E-2</v>
      </c>
      <c r="D6" s="263">
        <v>7.9459999999999999E-3</v>
      </c>
      <c r="E6" s="289">
        <v>0.43424000000000001</v>
      </c>
      <c r="F6" s="273" t="s">
        <v>73</v>
      </c>
      <c r="G6" s="93">
        <v>0</v>
      </c>
      <c r="H6" s="263">
        <v>7.4360999999999997E-2</v>
      </c>
      <c r="I6" s="263">
        <v>1.186E-3</v>
      </c>
      <c r="J6" s="263">
        <v>3.4837E-2</v>
      </c>
      <c r="K6" s="273" t="s">
        <v>73</v>
      </c>
      <c r="L6" s="273" t="s">
        <v>73</v>
      </c>
      <c r="M6" s="94">
        <f>G6+$H$6+$I$6+$J$6</f>
        <v>0.11038400000000001</v>
      </c>
      <c r="N6" s="263">
        <v>0</v>
      </c>
      <c r="O6" s="293">
        <v>2.9416999999999999E-2</v>
      </c>
      <c r="P6" s="95">
        <v>0</v>
      </c>
      <c r="Q6" s="263">
        <v>7.2920000000000007E-3</v>
      </c>
      <c r="R6" s="96">
        <f>$N$6+$O$6+P6+$Q$6</f>
        <v>3.6708999999999999E-2</v>
      </c>
      <c r="S6" s="113">
        <f>$E$6+M6+R6</f>
        <v>0.58133299999999999</v>
      </c>
      <c r="T6" s="53">
        <v>4.3999999999999997E-2</v>
      </c>
      <c r="U6" s="97">
        <f>S6+T6</f>
        <v>0.62533300000000003</v>
      </c>
      <c r="V6" s="125">
        <v>120</v>
      </c>
      <c r="W6" s="114">
        <f>U6*V6</f>
        <v>75.039960000000008</v>
      </c>
    </row>
    <row r="7" spans="1:23" x14ac:dyDescent="0.25">
      <c r="A7" s="34" t="s">
        <v>30</v>
      </c>
      <c r="B7" s="263"/>
      <c r="C7" s="263"/>
      <c r="D7" s="263"/>
      <c r="E7" s="289"/>
      <c r="F7" s="273"/>
      <c r="G7" s="93">
        <v>7.2051999999999991E-2</v>
      </c>
      <c r="H7" s="263"/>
      <c r="I7" s="263"/>
      <c r="J7" s="263"/>
      <c r="K7" s="273"/>
      <c r="L7" s="273"/>
      <c r="M7" s="94">
        <f t="shared" ref="M7:M11" si="0">G7+$H$6+$I$6+$J$6</f>
        <v>0.18243599999999999</v>
      </c>
      <c r="N7" s="263"/>
      <c r="O7" s="293"/>
      <c r="P7" s="95">
        <v>4.9599999999999998E-2</v>
      </c>
      <c r="Q7" s="263"/>
      <c r="R7" s="96">
        <f t="shared" ref="R7:R11" si="1">$N$6+$O$6+P7+$Q$6</f>
        <v>8.6309000000000011E-2</v>
      </c>
      <c r="S7" s="113">
        <f t="shared" ref="S7:S10" si="2">$E$6+M7+R7</f>
        <v>0.70298499999999997</v>
      </c>
      <c r="T7" s="53">
        <v>0.17499999999999999</v>
      </c>
      <c r="U7" s="97">
        <f t="shared" ref="U7:U10" si="3">S7+T7</f>
        <v>0.87798500000000002</v>
      </c>
      <c r="V7" s="125">
        <v>360</v>
      </c>
      <c r="W7" s="114">
        <f t="shared" ref="W7:W10" si="4">U7*V7</f>
        <v>316.07460000000003</v>
      </c>
    </row>
    <row r="8" spans="1:23" x14ac:dyDescent="0.25">
      <c r="A8" s="34" t="s">
        <v>31</v>
      </c>
      <c r="B8" s="263"/>
      <c r="C8" s="263"/>
      <c r="D8" s="263"/>
      <c r="E8" s="289"/>
      <c r="F8" s="273"/>
      <c r="G8" s="93">
        <v>6.5948000000000007E-2</v>
      </c>
      <c r="H8" s="263"/>
      <c r="I8" s="263"/>
      <c r="J8" s="263"/>
      <c r="K8" s="273"/>
      <c r="L8" s="273"/>
      <c r="M8" s="94">
        <f t="shared" si="0"/>
        <v>0.17633200000000002</v>
      </c>
      <c r="N8" s="263"/>
      <c r="O8" s="293"/>
      <c r="P8" s="95">
        <v>2.93E-2</v>
      </c>
      <c r="Q8" s="263"/>
      <c r="R8" s="96">
        <f t="shared" si="1"/>
        <v>6.6008999999999998E-2</v>
      </c>
      <c r="S8" s="113">
        <f t="shared" si="2"/>
        <v>0.67658099999999999</v>
      </c>
      <c r="T8" s="53">
        <v>0.17</v>
      </c>
      <c r="U8" s="97">
        <f t="shared" si="3"/>
        <v>0.84658100000000003</v>
      </c>
      <c r="V8" s="125">
        <v>1080</v>
      </c>
      <c r="W8" s="114">
        <f t="shared" si="4"/>
        <v>914.30748000000006</v>
      </c>
    </row>
    <row r="9" spans="1:23" x14ac:dyDescent="0.25">
      <c r="A9" s="34" t="s">
        <v>32</v>
      </c>
      <c r="B9" s="263"/>
      <c r="C9" s="263"/>
      <c r="D9" s="263"/>
      <c r="E9" s="289"/>
      <c r="F9" s="273"/>
      <c r="G9" s="93">
        <v>6.6224999999999992E-2</v>
      </c>
      <c r="H9" s="263"/>
      <c r="I9" s="263"/>
      <c r="J9" s="263"/>
      <c r="K9" s="273"/>
      <c r="L9" s="273"/>
      <c r="M9" s="94">
        <f t="shared" si="0"/>
        <v>0.17660899999999999</v>
      </c>
      <c r="N9" s="263"/>
      <c r="O9" s="293"/>
      <c r="P9" s="95">
        <v>2.3699999999999999E-2</v>
      </c>
      <c r="Q9" s="263"/>
      <c r="R9" s="96">
        <f t="shared" si="1"/>
        <v>6.0408999999999997E-2</v>
      </c>
      <c r="S9" s="113">
        <f t="shared" si="2"/>
        <v>0.67125800000000002</v>
      </c>
      <c r="T9" s="53">
        <v>0.186</v>
      </c>
      <c r="U9" s="97">
        <f t="shared" si="3"/>
        <v>0.85725800000000008</v>
      </c>
      <c r="V9" s="125">
        <v>3440</v>
      </c>
      <c r="W9" s="114">
        <f t="shared" si="4"/>
        <v>2948.9675200000001</v>
      </c>
    </row>
    <row r="10" spans="1:23" x14ac:dyDescent="0.25">
      <c r="A10" s="34" t="s">
        <v>33</v>
      </c>
      <c r="B10" s="263"/>
      <c r="C10" s="263"/>
      <c r="D10" s="263"/>
      <c r="E10" s="289"/>
      <c r="F10" s="273"/>
      <c r="G10" s="93">
        <v>4.9484E-2</v>
      </c>
      <c r="H10" s="263"/>
      <c r="I10" s="263"/>
      <c r="J10" s="263"/>
      <c r="K10" s="273"/>
      <c r="L10" s="273"/>
      <c r="M10" s="94">
        <f t="shared" si="0"/>
        <v>0.15986800000000001</v>
      </c>
      <c r="N10" s="263"/>
      <c r="O10" s="293"/>
      <c r="P10" s="95">
        <v>1.7000000000000001E-2</v>
      </c>
      <c r="Q10" s="263"/>
      <c r="R10" s="96">
        <f t="shared" si="1"/>
        <v>5.3709E-2</v>
      </c>
      <c r="S10" s="113">
        <f t="shared" si="2"/>
        <v>0.64781700000000009</v>
      </c>
      <c r="T10" s="53">
        <v>0.186</v>
      </c>
      <c r="U10" s="97">
        <f t="shared" si="3"/>
        <v>0.83381700000000003</v>
      </c>
      <c r="V10" s="125">
        <v>25000</v>
      </c>
      <c r="W10" s="114">
        <f t="shared" si="4"/>
        <v>20845.424999999999</v>
      </c>
    </row>
    <row r="11" spans="1:23" x14ac:dyDescent="0.25">
      <c r="A11" s="34" t="s">
        <v>34</v>
      </c>
      <c r="B11" s="274"/>
      <c r="C11" s="274"/>
      <c r="D11" s="274"/>
      <c r="E11" s="290"/>
      <c r="F11" s="283"/>
      <c r="G11" s="93">
        <v>2.5066000000000001E-2</v>
      </c>
      <c r="H11" s="274"/>
      <c r="I11" s="274"/>
      <c r="J11" s="274"/>
      <c r="K11" s="283"/>
      <c r="L11" s="283"/>
      <c r="M11" s="94">
        <f t="shared" si="0"/>
        <v>0.13545000000000001</v>
      </c>
      <c r="N11" s="274"/>
      <c r="O11" s="294"/>
      <c r="P11" s="98">
        <v>7.1000000000000004E-3</v>
      </c>
      <c r="Q11" s="274"/>
      <c r="R11" s="96">
        <f t="shared" si="1"/>
        <v>4.3809000000000001E-2</v>
      </c>
      <c r="S11" s="115"/>
      <c r="T11" s="116"/>
      <c r="U11" s="117"/>
      <c r="V11" s="118"/>
      <c r="W11" s="119"/>
    </row>
    <row r="12" spans="1:23" x14ac:dyDescent="0.25">
      <c r="A12" s="99" t="s">
        <v>74</v>
      </c>
      <c r="B12" s="100"/>
      <c r="C12" s="101"/>
      <c r="D12" s="100"/>
      <c r="E12" s="102"/>
      <c r="F12" s="103"/>
      <c r="G12" s="100"/>
      <c r="H12" s="104"/>
      <c r="I12" s="100"/>
      <c r="J12" s="100"/>
      <c r="K12" s="100"/>
      <c r="L12" s="100"/>
      <c r="M12" s="102"/>
      <c r="N12" s="102"/>
      <c r="O12" s="101"/>
      <c r="P12" s="104"/>
      <c r="Q12" s="105"/>
      <c r="R12" s="105"/>
      <c r="S12" s="122"/>
      <c r="T12" s="123"/>
      <c r="U12" s="122"/>
      <c r="V12" s="5">
        <f>SUM(V6:V11)</f>
        <v>30000</v>
      </c>
      <c r="W12" s="124">
        <f>SUM(W6:W11)</f>
        <v>25099.814559999999</v>
      </c>
    </row>
    <row r="13" spans="1:23" x14ac:dyDescent="0.25">
      <c r="A13" s="106" t="s">
        <v>75</v>
      </c>
      <c r="B13" s="273" t="s">
        <v>73</v>
      </c>
      <c r="C13" s="273" t="s">
        <v>73</v>
      </c>
      <c r="D13" s="271">
        <v>57.43</v>
      </c>
      <c r="E13" s="275">
        <v>57.43</v>
      </c>
      <c r="F13" s="107">
        <v>67.290000000000006</v>
      </c>
      <c r="G13" s="273" t="s">
        <v>73</v>
      </c>
      <c r="H13" s="273" t="s">
        <v>73</v>
      </c>
      <c r="I13" s="273" t="s">
        <v>73</v>
      </c>
      <c r="J13" s="273" t="s">
        <v>73</v>
      </c>
      <c r="K13" s="271">
        <v>-0.33</v>
      </c>
      <c r="L13" s="271">
        <v>0</v>
      </c>
      <c r="M13" s="108">
        <v>66.960000000000008</v>
      </c>
      <c r="N13" s="280" t="s">
        <v>73</v>
      </c>
      <c r="O13" s="280" t="s">
        <v>73</v>
      </c>
      <c r="P13" s="271">
        <v>-21.63</v>
      </c>
      <c r="Q13" s="273" t="s">
        <v>73</v>
      </c>
      <c r="R13" s="275">
        <v>-21.63</v>
      </c>
      <c r="S13" s="122"/>
      <c r="T13" s="123"/>
      <c r="U13" s="122"/>
      <c r="V13" s="122"/>
      <c r="W13" s="122"/>
    </row>
    <row r="14" spans="1:23" x14ac:dyDescent="0.25">
      <c r="A14" s="106" t="s">
        <v>76</v>
      </c>
      <c r="B14" s="263"/>
      <c r="C14" s="263"/>
      <c r="D14" s="271"/>
      <c r="E14" s="275"/>
      <c r="F14" s="107">
        <v>469.33000000000004</v>
      </c>
      <c r="G14" s="263"/>
      <c r="H14" s="263"/>
      <c r="I14" s="263"/>
      <c r="J14" s="263"/>
      <c r="K14" s="271"/>
      <c r="L14" s="271"/>
      <c r="M14" s="108">
        <v>469.00000000000006</v>
      </c>
      <c r="N14" s="281"/>
      <c r="O14" s="281"/>
      <c r="P14" s="271"/>
      <c r="Q14" s="263"/>
      <c r="R14" s="275"/>
      <c r="S14" s="122"/>
      <c r="T14" s="123"/>
      <c r="U14" s="122"/>
      <c r="V14" s="126" t="s">
        <v>80</v>
      </c>
      <c r="W14" s="127">
        <f>W12/V12</f>
        <v>0.83666048533333326</v>
      </c>
    </row>
    <row r="15" spans="1:23" x14ac:dyDescent="0.25">
      <c r="A15" s="109" t="s">
        <v>77</v>
      </c>
      <c r="B15" s="274"/>
      <c r="C15" s="274"/>
      <c r="D15" s="272"/>
      <c r="E15" s="276"/>
      <c r="F15" s="110">
        <v>964.39</v>
      </c>
      <c r="G15" s="274"/>
      <c r="H15" s="274"/>
      <c r="I15" s="274"/>
      <c r="J15" s="274"/>
      <c r="K15" s="272"/>
      <c r="L15" s="272"/>
      <c r="M15" s="111">
        <v>964.06</v>
      </c>
      <c r="N15" s="282"/>
      <c r="O15" s="282"/>
      <c r="P15" s="272"/>
      <c r="Q15" s="274"/>
      <c r="R15" s="276"/>
    </row>
    <row r="16" spans="1:23" x14ac:dyDescent="0.25">
      <c r="A16" s="112" t="s">
        <v>78</v>
      </c>
      <c r="B16" s="277" t="s">
        <v>79</v>
      </c>
      <c r="C16" s="278"/>
      <c r="D16" s="278"/>
      <c r="E16" s="278"/>
      <c r="F16" s="278"/>
      <c r="G16" s="278"/>
      <c r="H16" s="278"/>
      <c r="I16" s="278"/>
      <c r="J16" s="278"/>
      <c r="K16" s="278"/>
      <c r="L16" s="278"/>
      <c r="M16" s="278"/>
      <c r="N16" s="278"/>
      <c r="O16" s="278"/>
      <c r="P16" s="278"/>
      <c r="Q16" s="278"/>
      <c r="R16" s="279"/>
    </row>
    <row r="20" spans="2:3" x14ac:dyDescent="0.25">
      <c r="B20" s="155" t="s">
        <v>305</v>
      </c>
      <c r="C20" s="158">
        <f>$E$13+M13+$R$13</f>
        <v>102.76000000000002</v>
      </c>
    </row>
    <row r="21" spans="2:3" x14ac:dyDescent="0.25">
      <c r="B21" s="155" t="s">
        <v>306</v>
      </c>
      <c r="C21" s="158">
        <f t="shared" ref="C21:C22" si="5">$E$13+M14+$R$13</f>
        <v>504.80000000000007</v>
      </c>
    </row>
    <row r="22" spans="2:3" x14ac:dyDescent="0.25">
      <c r="B22" s="155" t="s">
        <v>307</v>
      </c>
      <c r="C22" s="158">
        <f t="shared" si="5"/>
        <v>999.8599999999999</v>
      </c>
    </row>
  </sheetData>
  <mergeCells count="32">
    <mergeCell ref="Q6:Q11"/>
    <mergeCell ref="E2:E4"/>
    <mergeCell ref="M2:M4"/>
    <mergeCell ref="R2:R4"/>
    <mergeCell ref="B6:B11"/>
    <mergeCell ref="C6:C11"/>
    <mergeCell ref="D6:D11"/>
    <mergeCell ref="E6:E11"/>
    <mergeCell ref="F6:F11"/>
    <mergeCell ref="H6:H11"/>
    <mergeCell ref="I6:I11"/>
    <mergeCell ref="J6:J11"/>
    <mergeCell ref="K6:K11"/>
    <mergeCell ref="L6:L11"/>
    <mergeCell ref="N6:N11"/>
    <mergeCell ref="O6:O11"/>
    <mergeCell ref="P13:P15"/>
    <mergeCell ref="Q13:Q15"/>
    <mergeCell ref="R13:R15"/>
    <mergeCell ref="B16:R16"/>
    <mergeCell ref="I13:I15"/>
    <mergeCell ref="J13:J15"/>
    <mergeCell ref="K13:K15"/>
    <mergeCell ref="L13:L15"/>
    <mergeCell ref="N13:N15"/>
    <mergeCell ref="O13:O15"/>
    <mergeCell ref="B13:B15"/>
    <mergeCell ref="C13:C15"/>
    <mergeCell ref="D13:D15"/>
    <mergeCell ref="E13:E15"/>
    <mergeCell ref="G13:G15"/>
    <mergeCell ref="H13:H15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7EE87-7B9D-41AD-A0EB-469DECE34181}">
  <sheetPr>
    <tabColor rgb="FF92D050"/>
  </sheetPr>
  <dimension ref="A1:W22"/>
  <sheetViews>
    <sheetView workbookViewId="0">
      <selection activeCell="K28" sqref="K28"/>
    </sheetView>
  </sheetViews>
  <sheetFormatPr defaultRowHeight="15" x14ac:dyDescent="0.25"/>
  <cols>
    <col min="1" max="1" width="22.28515625" customWidth="1"/>
    <col min="22" max="22" width="11.42578125" bestFit="1" customWidth="1"/>
    <col min="23" max="23" width="12" bestFit="1" customWidth="1"/>
  </cols>
  <sheetData>
    <row r="1" spans="1:23" ht="15.75" x14ac:dyDescent="0.25">
      <c r="A1" s="74" t="s">
        <v>62</v>
      </c>
      <c r="B1" s="32"/>
      <c r="C1" s="32"/>
      <c r="D1" s="32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</row>
    <row r="2" spans="1:23" ht="25.5" x14ac:dyDescent="0.25">
      <c r="A2" s="77" t="s">
        <v>63</v>
      </c>
      <c r="B2" s="32"/>
      <c r="C2" s="32"/>
      <c r="D2" s="32"/>
      <c r="E2" s="286" t="s">
        <v>64</v>
      </c>
      <c r="F2" s="75"/>
      <c r="G2" s="75"/>
      <c r="H2" s="75"/>
      <c r="I2" s="75"/>
      <c r="J2" s="75"/>
      <c r="K2" s="75"/>
      <c r="L2" s="75"/>
      <c r="M2" s="286" t="s">
        <v>65</v>
      </c>
      <c r="N2" s="78"/>
      <c r="O2" s="75"/>
      <c r="P2" s="75"/>
      <c r="Q2" s="75"/>
      <c r="R2" s="286" t="s">
        <v>66</v>
      </c>
    </row>
    <row r="3" spans="1:23" x14ac:dyDescent="0.25">
      <c r="A3" s="79" t="s">
        <v>67</v>
      </c>
      <c r="B3" s="32"/>
      <c r="C3" s="32"/>
      <c r="D3" s="32"/>
      <c r="E3" s="287"/>
      <c r="F3" s="75"/>
      <c r="G3" s="75"/>
      <c r="H3" s="75"/>
      <c r="I3" s="75"/>
      <c r="J3" s="75"/>
      <c r="K3" s="75"/>
      <c r="L3" s="75"/>
      <c r="M3" s="287"/>
      <c r="N3" s="78"/>
      <c r="O3" s="75"/>
      <c r="P3" s="75"/>
      <c r="Q3" s="75"/>
      <c r="R3" s="287"/>
    </row>
    <row r="4" spans="1:23" x14ac:dyDescent="0.25">
      <c r="A4" s="80" t="s">
        <v>610</v>
      </c>
      <c r="B4" s="81" t="s">
        <v>39</v>
      </c>
      <c r="C4" s="82" t="s">
        <v>40</v>
      </c>
      <c r="D4" s="82" t="s">
        <v>41</v>
      </c>
      <c r="E4" s="288"/>
      <c r="F4" s="83" t="s">
        <v>46</v>
      </c>
      <c r="G4" s="84" t="s">
        <v>47</v>
      </c>
      <c r="H4" s="84" t="s">
        <v>48</v>
      </c>
      <c r="I4" s="84" t="s">
        <v>53</v>
      </c>
      <c r="J4" s="84" t="s">
        <v>49</v>
      </c>
      <c r="K4" s="85" t="s">
        <v>68</v>
      </c>
      <c r="L4" s="86" t="s">
        <v>69</v>
      </c>
      <c r="M4" s="288"/>
      <c r="N4" s="84" t="s">
        <v>51</v>
      </c>
      <c r="O4" s="83" t="s">
        <v>52</v>
      </c>
      <c r="P4" s="87" t="s">
        <v>50</v>
      </c>
      <c r="Q4" s="87" t="s">
        <v>70</v>
      </c>
      <c r="R4" s="288"/>
    </row>
    <row r="5" spans="1:23" ht="25.5" x14ac:dyDescent="0.25">
      <c r="A5" s="33" t="s">
        <v>71</v>
      </c>
      <c r="B5" s="88"/>
      <c r="C5" s="89"/>
      <c r="D5" s="89"/>
      <c r="E5" s="90"/>
      <c r="F5" s="89"/>
      <c r="G5" s="88"/>
      <c r="H5" s="89"/>
      <c r="I5" s="89"/>
      <c r="J5" s="89"/>
      <c r="K5" s="89"/>
      <c r="L5" s="89"/>
      <c r="M5" s="91"/>
      <c r="N5" s="91"/>
      <c r="O5" s="88"/>
      <c r="P5" s="89"/>
      <c r="Q5" s="92"/>
      <c r="R5" s="92"/>
      <c r="S5" s="67" t="s">
        <v>81</v>
      </c>
      <c r="T5" s="120" t="s">
        <v>57</v>
      </c>
      <c r="U5" s="67" t="s">
        <v>82</v>
      </c>
      <c r="V5" s="67" t="s">
        <v>83</v>
      </c>
      <c r="W5" s="121" t="s">
        <v>84</v>
      </c>
    </row>
    <row r="6" spans="1:23" x14ac:dyDescent="0.25">
      <c r="A6" s="34" t="s">
        <v>72</v>
      </c>
      <c r="B6" s="291">
        <v>0.380886</v>
      </c>
      <c r="C6" s="291">
        <v>3.3815999999999999E-2</v>
      </c>
      <c r="D6" s="291">
        <v>7.9459999999999999E-3</v>
      </c>
      <c r="E6" s="289">
        <f>SUM(B6:D11)</f>
        <v>0.42264800000000002</v>
      </c>
      <c r="F6" s="273" t="s">
        <v>73</v>
      </c>
      <c r="G6" s="93">
        <v>0</v>
      </c>
      <c r="H6" s="263">
        <v>7.4360999999999997E-2</v>
      </c>
      <c r="I6" s="263">
        <v>1.186E-3</v>
      </c>
      <c r="J6" s="263">
        <v>3.4837E-2</v>
      </c>
      <c r="K6" s="273" t="s">
        <v>73</v>
      </c>
      <c r="L6" s="273" t="s">
        <v>73</v>
      </c>
      <c r="M6" s="94">
        <f>G6+$H$6+$I$6+$J$6</f>
        <v>0.11038400000000001</v>
      </c>
      <c r="N6" s="263">
        <v>0</v>
      </c>
      <c r="O6" s="299">
        <v>2.9416999999999999E-2</v>
      </c>
      <c r="P6" s="95">
        <v>0</v>
      </c>
      <c r="Q6" s="263">
        <v>7.2920000000000007E-3</v>
      </c>
      <c r="R6" s="96">
        <f>$N$6+$O$6+P6+$Q$6</f>
        <v>3.6708999999999999E-2</v>
      </c>
      <c r="S6" s="113">
        <f>$E$6+M6+R6</f>
        <v>0.56974100000000005</v>
      </c>
      <c r="T6" s="53">
        <v>4.3999999999999997E-2</v>
      </c>
      <c r="U6" s="97">
        <f>S6+T6</f>
        <v>0.61374100000000009</v>
      </c>
      <c r="V6" s="125">
        <v>120</v>
      </c>
      <c r="W6" s="114">
        <f>U6*V6</f>
        <v>73.648920000000004</v>
      </c>
    </row>
    <row r="7" spans="1:23" x14ac:dyDescent="0.25">
      <c r="A7" s="34" t="s">
        <v>30</v>
      </c>
      <c r="B7" s="291"/>
      <c r="C7" s="291"/>
      <c r="D7" s="291"/>
      <c r="E7" s="289"/>
      <c r="F7" s="273"/>
      <c r="G7" s="93">
        <v>7.2051999999999991E-2</v>
      </c>
      <c r="H7" s="263"/>
      <c r="I7" s="263"/>
      <c r="J7" s="263"/>
      <c r="K7" s="273"/>
      <c r="L7" s="273"/>
      <c r="M7" s="94">
        <f t="shared" ref="M7:M11" si="0">G7+$H$6+$I$6+$J$6</f>
        <v>0.18243599999999999</v>
      </c>
      <c r="N7" s="263"/>
      <c r="O7" s="299"/>
      <c r="P7" s="95">
        <v>4.9599999999999998E-2</v>
      </c>
      <c r="Q7" s="263"/>
      <c r="R7" s="96">
        <f t="shared" ref="R7:R11" si="1">$N$6+$O$6+P7+$Q$6</f>
        <v>8.6309000000000011E-2</v>
      </c>
      <c r="S7" s="113">
        <f t="shared" ref="S7:S10" si="2">$E$6+M7+R7</f>
        <v>0.69139299999999992</v>
      </c>
      <c r="T7" s="53">
        <v>0.17499999999999999</v>
      </c>
      <c r="U7" s="97">
        <f t="shared" ref="U7:U10" si="3">S7+T7</f>
        <v>0.86639299999999997</v>
      </c>
      <c r="V7" s="125">
        <v>360</v>
      </c>
      <c r="W7" s="114">
        <f t="shared" ref="W7:W10" si="4">U7*V7</f>
        <v>311.90147999999999</v>
      </c>
    </row>
    <row r="8" spans="1:23" x14ac:dyDescent="0.25">
      <c r="A8" s="34" t="s">
        <v>31</v>
      </c>
      <c r="B8" s="291"/>
      <c r="C8" s="291"/>
      <c r="D8" s="291"/>
      <c r="E8" s="289"/>
      <c r="F8" s="273"/>
      <c r="G8" s="93">
        <v>6.5948000000000007E-2</v>
      </c>
      <c r="H8" s="263"/>
      <c r="I8" s="263"/>
      <c r="J8" s="263"/>
      <c r="K8" s="273"/>
      <c r="L8" s="273"/>
      <c r="M8" s="94">
        <f t="shared" si="0"/>
        <v>0.17633200000000002</v>
      </c>
      <c r="N8" s="263"/>
      <c r="O8" s="299"/>
      <c r="P8" s="95">
        <v>2.93E-2</v>
      </c>
      <c r="Q8" s="263"/>
      <c r="R8" s="96">
        <f t="shared" si="1"/>
        <v>6.6008999999999998E-2</v>
      </c>
      <c r="S8" s="113">
        <f t="shared" si="2"/>
        <v>0.66498900000000005</v>
      </c>
      <c r="T8" s="53">
        <v>0.17</v>
      </c>
      <c r="U8" s="97">
        <f t="shared" si="3"/>
        <v>0.83498900000000009</v>
      </c>
      <c r="V8" s="125">
        <v>1080</v>
      </c>
      <c r="W8" s="114">
        <f t="shared" si="4"/>
        <v>901.78812000000005</v>
      </c>
    </row>
    <row r="9" spans="1:23" x14ac:dyDescent="0.25">
      <c r="A9" s="34" t="s">
        <v>32</v>
      </c>
      <c r="B9" s="291"/>
      <c r="C9" s="291"/>
      <c r="D9" s="291"/>
      <c r="E9" s="289"/>
      <c r="F9" s="273"/>
      <c r="G9" s="93">
        <v>6.6224999999999992E-2</v>
      </c>
      <c r="H9" s="263"/>
      <c r="I9" s="263"/>
      <c r="J9" s="263"/>
      <c r="K9" s="273"/>
      <c r="L9" s="273"/>
      <c r="M9" s="94">
        <f t="shared" si="0"/>
        <v>0.17660899999999999</v>
      </c>
      <c r="N9" s="263"/>
      <c r="O9" s="299"/>
      <c r="P9" s="95">
        <v>2.3699999999999999E-2</v>
      </c>
      <c r="Q9" s="263"/>
      <c r="R9" s="96">
        <f t="shared" si="1"/>
        <v>6.0408999999999997E-2</v>
      </c>
      <c r="S9" s="113">
        <f t="shared" si="2"/>
        <v>0.65966600000000009</v>
      </c>
      <c r="T9" s="53">
        <v>0.186</v>
      </c>
      <c r="U9" s="97">
        <f t="shared" si="3"/>
        <v>0.84566600000000003</v>
      </c>
      <c r="V9" s="125">
        <v>3440</v>
      </c>
      <c r="W9" s="114">
        <f t="shared" si="4"/>
        <v>2909.0910400000002</v>
      </c>
    </row>
    <row r="10" spans="1:23" x14ac:dyDescent="0.25">
      <c r="A10" s="34" t="s">
        <v>33</v>
      </c>
      <c r="B10" s="291"/>
      <c r="C10" s="291"/>
      <c r="D10" s="291"/>
      <c r="E10" s="289"/>
      <c r="F10" s="273"/>
      <c r="G10" s="93">
        <v>4.9484E-2</v>
      </c>
      <c r="H10" s="263"/>
      <c r="I10" s="263"/>
      <c r="J10" s="263"/>
      <c r="K10" s="273"/>
      <c r="L10" s="273"/>
      <c r="M10" s="94">
        <f t="shared" si="0"/>
        <v>0.15986800000000001</v>
      </c>
      <c r="N10" s="263"/>
      <c r="O10" s="299"/>
      <c r="P10" s="95">
        <v>1.7000000000000001E-2</v>
      </c>
      <c r="Q10" s="263"/>
      <c r="R10" s="96">
        <f t="shared" si="1"/>
        <v>5.3709E-2</v>
      </c>
      <c r="S10" s="113">
        <f t="shared" si="2"/>
        <v>0.63622500000000004</v>
      </c>
      <c r="T10" s="53">
        <v>0.186</v>
      </c>
      <c r="U10" s="97">
        <f t="shared" si="3"/>
        <v>0.82222499999999998</v>
      </c>
      <c r="V10" s="125">
        <v>25000</v>
      </c>
      <c r="W10" s="114">
        <f t="shared" si="4"/>
        <v>20555.625</v>
      </c>
    </row>
    <row r="11" spans="1:23" x14ac:dyDescent="0.25">
      <c r="A11" s="34" t="s">
        <v>34</v>
      </c>
      <c r="B11" s="292"/>
      <c r="C11" s="292"/>
      <c r="D11" s="292"/>
      <c r="E11" s="290"/>
      <c r="F11" s="283"/>
      <c r="G11" s="93">
        <v>2.5066000000000001E-2</v>
      </c>
      <c r="H11" s="274"/>
      <c r="I11" s="274"/>
      <c r="J11" s="274"/>
      <c r="K11" s="283"/>
      <c r="L11" s="283"/>
      <c r="M11" s="94">
        <f t="shared" si="0"/>
        <v>0.13545000000000001</v>
      </c>
      <c r="N11" s="274"/>
      <c r="O11" s="300"/>
      <c r="P11" s="98">
        <v>7.1000000000000004E-3</v>
      </c>
      <c r="Q11" s="274"/>
      <c r="R11" s="96">
        <f t="shared" si="1"/>
        <v>4.3809000000000001E-2</v>
      </c>
      <c r="S11" s="115"/>
      <c r="T11" s="116"/>
      <c r="U11" s="117"/>
      <c r="V11" s="118"/>
      <c r="W11" s="119"/>
    </row>
    <row r="12" spans="1:23" x14ac:dyDescent="0.25">
      <c r="A12" s="99" t="s">
        <v>74</v>
      </c>
      <c r="B12" s="100"/>
      <c r="C12" s="101"/>
      <c r="D12" s="100"/>
      <c r="E12" s="102"/>
      <c r="F12" s="103"/>
      <c r="G12" s="100"/>
      <c r="H12" s="104"/>
      <c r="I12" s="100"/>
      <c r="J12" s="100"/>
      <c r="K12" s="100"/>
      <c r="L12" s="100"/>
      <c r="M12" s="102"/>
      <c r="N12" s="102"/>
      <c r="O12" s="101"/>
      <c r="P12" s="104"/>
      <c r="Q12" s="105"/>
      <c r="R12" s="105"/>
      <c r="S12" s="122"/>
      <c r="T12" s="123"/>
      <c r="U12" s="122"/>
      <c r="V12" s="5">
        <f>SUM(V6:V11)</f>
        <v>30000</v>
      </c>
      <c r="W12" s="124">
        <f>SUM(W6:W11)</f>
        <v>24752.05456</v>
      </c>
    </row>
    <row r="13" spans="1:23" x14ac:dyDescent="0.25">
      <c r="A13" s="106" t="s">
        <v>75</v>
      </c>
      <c r="B13" s="273" t="s">
        <v>73</v>
      </c>
      <c r="C13" s="273" t="s">
        <v>73</v>
      </c>
      <c r="D13" s="271">
        <v>57.43</v>
      </c>
      <c r="E13" s="275">
        <v>57.43</v>
      </c>
      <c r="F13" s="107">
        <v>67.290000000000006</v>
      </c>
      <c r="G13" s="273" t="s">
        <v>73</v>
      </c>
      <c r="H13" s="273" t="s">
        <v>73</v>
      </c>
      <c r="I13" s="273" t="s">
        <v>73</v>
      </c>
      <c r="J13" s="273" t="s">
        <v>73</v>
      </c>
      <c r="K13" s="271">
        <v>-0.33</v>
      </c>
      <c r="L13" s="271">
        <v>0.01</v>
      </c>
      <c r="M13" s="108">
        <v>66.960000000000008</v>
      </c>
      <c r="N13" s="280" t="s">
        <v>73</v>
      </c>
      <c r="O13" s="280" t="s">
        <v>73</v>
      </c>
      <c r="P13" s="271">
        <v>-21.63</v>
      </c>
      <c r="Q13" s="273" t="s">
        <v>73</v>
      </c>
      <c r="R13" s="275">
        <v>-21.63</v>
      </c>
      <c r="S13" s="122"/>
      <c r="T13" s="123"/>
      <c r="U13" s="122"/>
      <c r="V13" s="122"/>
      <c r="W13" s="122"/>
    </row>
    <row r="14" spans="1:23" x14ac:dyDescent="0.25">
      <c r="A14" s="106" t="s">
        <v>76</v>
      </c>
      <c r="B14" s="263"/>
      <c r="C14" s="263"/>
      <c r="D14" s="271"/>
      <c r="E14" s="275"/>
      <c r="F14" s="107">
        <v>469.33000000000004</v>
      </c>
      <c r="G14" s="263"/>
      <c r="H14" s="263"/>
      <c r="I14" s="263"/>
      <c r="J14" s="263"/>
      <c r="K14" s="271"/>
      <c r="L14" s="271"/>
      <c r="M14" s="108">
        <v>469.00000000000006</v>
      </c>
      <c r="N14" s="281"/>
      <c r="O14" s="281"/>
      <c r="P14" s="271"/>
      <c r="Q14" s="263"/>
      <c r="R14" s="275"/>
      <c r="S14" s="122"/>
      <c r="T14" s="123"/>
      <c r="U14" s="122"/>
      <c r="V14" s="126" t="s">
        <v>80</v>
      </c>
      <c r="W14" s="127">
        <f>W12/V12</f>
        <v>0.82506848533333332</v>
      </c>
    </row>
    <row r="15" spans="1:23" x14ac:dyDescent="0.25">
      <c r="A15" s="109" t="s">
        <v>77</v>
      </c>
      <c r="B15" s="274"/>
      <c r="C15" s="274"/>
      <c r="D15" s="272"/>
      <c r="E15" s="276"/>
      <c r="F15" s="110">
        <v>964.39</v>
      </c>
      <c r="G15" s="274"/>
      <c r="H15" s="274"/>
      <c r="I15" s="274"/>
      <c r="J15" s="274"/>
      <c r="K15" s="272"/>
      <c r="L15" s="272"/>
      <c r="M15" s="111">
        <v>964.06</v>
      </c>
      <c r="N15" s="282"/>
      <c r="O15" s="282"/>
      <c r="P15" s="272"/>
      <c r="Q15" s="274"/>
      <c r="R15" s="276"/>
    </row>
    <row r="16" spans="1:23" x14ac:dyDescent="0.25">
      <c r="A16" s="112" t="s">
        <v>78</v>
      </c>
      <c r="B16" s="277" t="s">
        <v>79</v>
      </c>
      <c r="C16" s="278"/>
      <c r="D16" s="278"/>
      <c r="E16" s="278"/>
      <c r="F16" s="278"/>
      <c r="G16" s="278"/>
      <c r="H16" s="278"/>
      <c r="I16" s="278"/>
      <c r="J16" s="278"/>
      <c r="K16" s="278"/>
      <c r="L16" s="278"/>
      <c r="M16" s="278"/>
      <c r="N16" s="278"/>
      <c r="O16" s="278"/>
      <c r="P16" s="278"/>
      <c r="Q16" s="278"/>
      <c r="R16" s="279"/>
    </row>
    <row r="20" spans="2:3" x14ac:dyDescent="0.25">
      <c r="B20" s="155" t="s">
        <v>305</v>
      </c>
      <c r="C20" s="158">
        <f>$E$13+M13+$R$13</f>
        <v>102.76000000000002</v>
      </c>
    </row>
    <row r="21" spans="2:3" x14ac:dyDescent="0.25">
      <c r="B21" s="155" t="s">
        <v>306</v>
      </c>
      <c r="C21" s="158">
        <f t="shared" ref="C21:C22" si="5">$E$13+M14+$R$13</f>
        <v>504.80000000000007</v>
      </c>
    </row>
    <row r="22" spans="2:3" x14ac:dyDescent="0.25">
      <c r="B22" s="155" t="s">
        <v>307</v>
      </c>
      <c r="C22" s="158">
        <f t="shared" si="5"/>
        <v>999.8599999999999</v>
      </c>
    </row>
  </sheetData>
  <mergeCells count="32">
    <mergeCell ref="Q6:Q11"/>
    <mergeCell ref="E2:E4"/>
    <mergeCell ref="M2:M4"/>
    <mergeCell ref="R2:R4"/>
    <mergeCell ref="B6:B11"/>
    <mergeCell ref="C6:C11"/>
    <mergeCell ref="D6:D11"/>
    <mergeCell ref="E6:E11"/>
    <mergeCell ref="F6:F11"/>
    <mergeCell ref="H6:H11"/>
    <mergeCell ref="I6:I11"/>
    <mergeCell ref="J6:J11"/>
    <mergeCell ref="K6:K11"/>
    <mergeCell ref="L6:L11"/>
    <mergeCell ref="N6:N11"/>
    <mergeCell ref="O6:O11"/>
    <mergeCell ref="P13:P15"/>
    <mergeCell ref="Q13:Q15"/>
    <mergeCell ref="R13:R15"/>
    <mergeCell ref="B16:R16"/>
    <mergeCell ref="I13:I15"/>
    <mergeCell ref="J13:J15"/>
    <mergeCell ref="K13:K15"/>
    <mergeCell ref="L13:L15"/>
    <mergeCell ref="N13:N15"/>
    <mergeCell ref="O13:O15"/>
    <mergeCell ref="B13:B15"/>
    <mergeCell ref="C13:C15"/>
    <mergeCell ref="D13:D15"/>
    <mergeCell ref="E13:E15"/>
    <mergeCell ref="G13:G15"/>
    <mergeCell ref="H13:H15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6EC60-484A-43DD-9005-8ACBDCB015D3}">
  <sheetPr>
    <tabColor rgb="FF92D050"/>
  </sheetPr>
  <dimension ref="A1:W22"/>
  <sheetViews>
    <sheetView workbookViewId="0">
      <selection activeCell="J24" sqref="J24"/>
    </sheetView>
  </sheetViews>
  <sheetFormatPr defaultRowHeight="15" x14ac:dyDescent="0.25"/>
  <cols>
    <col min="1" max="1" width="22.28515625" customWidth="1"/>
    <col min="22" max="22" width="11.42578125" bestFit="1" customWidth="1"/>
    <col min="23" max="23" width="12" bestFit="1" customWidth="1"/>
  </cols>
  <sheetData>
    <row r="1" spans="1:23" ht="15.75" x14ac:dyDescent="0.25">
      <c r="A1" s="74" t="s">
        <v>62</v>
      </c>
      <c r="B1" s="32"/>
      <c r="C1" s="32"/>
      <c r="D1" s="32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</row>
    <row r="2" spans="1:23" ht="25.5" x14ac:dyDescent="0.25">
      <c r="A2" s="77" t="s">
        <v>63</v>
      </c>
      <c r="B2" s="32"/>
      <c r="C2" s="32"/>
      <c r="D2" s="32"/>
      <c r="E2" s="286" t="s">
        <v>64</v>
      </c>
      <c r="F2" s="75"/>
      <c r="G2" s="75"/>
      <c r="H2" s="75"/>
      <c r="I2" s="75"/>
      <c r="J2" s="75"/>
      <c r="K2" s="75"/>
      <c r="L2" s="75"/>
      <c r="M2" s="286" t="s">
        <v>65</v>
      </c>
      <c r="N2" s="78"/>
      <c r="O2" s="75"/>
      <c r="P2" s="75"/>
      <c r="Q2" s="75"/>
      <c r="R2" s="286" t="s">
        <v>66</v>
      </c>
    </row>
    <row r="3" spans="1:23" x14ac:dyDescent="0.25">
      <c r="A3" s="79" t="s">
        <v>67</v>
      </c>
      <c r="B3" s="32"/>
      <c r="C3" s="32"/>
      <c r="D3" s="32"/>
      <c r="E3" s="287"/>
      <c r="F3" s="75"/>
      <c r="G3" s="75"/>
      <c r="H3" s="75"/>
      <c r="I3" s="75"/>
      <c r="J3" s="75"/>
      <c r="K3" s="75"/>
      <c r="L3" s="75"/>
      <c r="M3" s="287"/>
      <c r="N3" s="78"/>
      <c r="O3" s="75"/>
      <c r="P3" s="75"/>
      <c r="Q3" s="75"/>
      <c r="R3" s="287"/>
    </row>
    <row r="4" spans="1:23" x14ac:dyDescent="0.25">
      <c r="A4" s="220" t="s">
        <v>611</v>
      </c>
      <c r="B4" s="81" t="s">
        <v>39</v>
      </c>
      <c r="C4" s="82" t="s">
        <v>40</v>
      </c>
      <c r="D4" s="82" t="s">
        <v>41</v>
      </c>
      <c r="E4" s="288"/>
      <c r="F4" s="83" t="s">
        <v>46</v>
      </c>
      <c r="G4" s="84" t="s">
        <v>47</v>
      </c>
      <c r="H4" s="84" t="s">
        <v>48</v>
      </c>
      <c r="I4" s="84" t="s">
        <v>53</v>
      </c>
      <c r="J4" s="84" t="s">
        <v>49</v>
      </c>
      <c r="K4" s="85" t="s">
        <v>68</v>
      </c>
      <c r="L4" s="86" t="s">
        <v>69</v>
      </c>
      <c r="M4" s="288"/>
      <c r="N4" s="84" t="s">
        <v>51</v>
      </c>
      <c r="O4" s="83" t="s">
        <v>52</v>
      </c>
      <c r="P4" s="87" t="s">
        <v>50</v>
      </c>
      <c r="Q4" s="87" t="s">
        <v>70</v>
      </c>
      <c r="R4" s="288"/>
    </row>
    <row r="5" spans="1:23" ht="25.5" x14ac:dyDescent="0.25">
      <c r="A5" s="33" t="s">
        <v>71</v>
      </c>
      <c r="B5" s="88"/>
      <c r="C5" s="89"/>
      <c r="D5" s="89"/>
      <c r="E5" s="90"/>
      <c r="F5" s="89"/>
      <c r="G5" s="88"/>
      <c r="H5" s="89"/>
      <c r="I5" s="89"/>
      <c r="J5" s="89"/>
      <c r="K5" s="89"/>
      <c r="L5" s="89"/>
      <c r="M5" s="91"/>
      <c r="N5" s="91"/>
      <c r="O5" s="88"/>
      <c r="P5" s="89"/>
      <c r="Q5" s="92"/>
      <c r="R5" s="92"/>
      <c r="S5" s="67" t="s">
        <v>81</v>
      </c>
      <c r="T5" s="120" t="s">
        <v>57</v>
      </c>
      <c r="U5" s="67" t="s">
        <v>82</v>
      </c>
      <c r="V5" s="67" t="s">
        <v>83</v>
      </c>
      <c r="W5" s="121" t="s">
        <v>84</v>
      </c>
    </row>
    <row r="6" spans="1:23" x14ac:dyDescent="0.25">
      <c r="A6" s="34" t="s">
        <v>72</v>
      </c>
      <c r="B6" s="263">
        <v>0.37335800000000002</v>
      </c>
      <c r="C6" s="263">
        <v>3.3815999999999999E-2</v>
      </c>
      <c r="D6" s="263">
        <v>7.9459999999999999E-3</v>
      </c>
      <c r="E6" s="289">
        <f>SUM(B6:D11)</f>
        <v>0.41512000000000004</v>
      </c>
      <c r="F6" s="273" t="s">
        <v>73</v>
      </c>
      <c r="G6" s="93">
        <v>0</v>
      </c>
      <c r="H6" s="263">
        <v>7.4360999999999997E-2</v>
      </c>
      <c r="I6" s="263">
        <v>1.186E-3</v>
      </c>
      <c r="J6" s="263">
        <v>3.4837E-2</v>
      </c>
      <c r="K6" s="273" t="s">
        <v>73</v>
      </c>
      <c r="L6" s="273" t="s">
        <v>73</v>
      </c>
      <c r="M6" s="94">
        <f>G6+$H$6+$I$6+$J$6</f>
        <v>0.11038400000000001</v>
      </c>
      <c r="N6" s="263">
        <v>0</v>
      </c>
      <c r="O6" s="293">
        <v>2.9416999999999999E-2</v>
      </c>
      <c r="P6" s="95">
        <v>0</v>
      </c>
      <c r="Q6" s="263">
        <v>7.2920000000000007E-3</v>
      </c>
      <c r="R6" s="96">
        <f>$N$6+$O$6+P6+$Q$6</f>
        <v>3.6708999999999999E-2</v>
      </c>
      <c r="S6" s="113">
        <f>$E$6+M6+R6</f>
        <v>0.56221300000000007</v>
      </c>
      <c r="T6" s="53">
        <v>4.3999999999999997E-2</v>
      </c>
      <c r="U6" s="97">
        <f>S6+T6</f>
        <v>0.60621300000000011</v>
      </c>
      <c r="V6" s="125">
        <v>120</v>
      </c>
      <c r="W6" s="114">
        <f>U6*V6</f>
        <v>72.745560000000012</v>
      </c>
    </row>
    <row r="7" spans="1:23" x14ac:dyDescent="0.25">
      <c r="A7" s="34" t="s">
        <v>30</v>
      </c>
      <c r="B7" s="263"/>
      <c r="C7" s="263"/>
      <c r="D7" s="263"/>
      <c r="E7" s="289"/>
      <c r="F7" s="273"/>
      <c r="G7" s="93">
        <v>7.2052000000000005E-2</v>
      </c>
      <c r="H7" s="263"/>
      <c r="I7" s="263"/>
      <c r="J7" s="263"/>
      <c r="K7" s="273"/>
      <c r="L7" s="273"/>
      <c r="M7" s="94">
        <f t="shared" ref="M7:M11" si="0">G7+$H$6+$I$6+$J$6</f>
        <v>0.18243600000000001</v>
      </c>
      <c r="N7" s="263"/>
      <c r="O7" s="293"/>
      <c r="P7" s="95">
        <v>4.9599999999999998E-2</v>
      </c>
      <c r="Q7" s="263"/>
      <c r="R7" s="96">
        <f t="shared" ref="R7:R11" si="1">$N$6+$O$6+P7+$Q$6</f>
        <v>8.6309000000000011E-2</v>
      </c>
      <c r="S7" s="113">
        <f t="shared" ref="S7:S10" si="2">$E$6+M7+R7</f>
        <v>0.68386500000000006</v>
      </c>
      <c r="T7" s="53">
        <v>0.17499999999999999</v>
      </c>
      <c r="U7" s="97">
        <f t="shared" ref="U7:U10" si="3">S7+T7</f>
        <v>0.85886499999999999</v>
      </c>
      <c r="V7" s="125">
        <v>360</v>
      </c>
      <c r="W7" s="114">
        <f t="shared" ref="W7:W10" si="4">U7*V7</f>
        <v>309.19139999999999</v>
      </c>
    </row>
    <row r="8" spans="1:23" x14ac:dyDescent="0.25">
      <c r="A8" s="34" t="s">
        <v>31</v>
      </c>
      <c r="B8" s="263"/>
      <c r="C8" s="263"/>
      <c r="D8" s="263"/>
      <c r="E8" s="289"/>
      <c r="F8" s="273"/>
      <c r="G8" s="93">
        <v>6.5948000000000007E-2</v>
      </c>
      <c r="H8" s="263"/>
      <c r="I8" s="263"/>
      <c r="J8" s="263"/>
      <c r="K8" s="273"/>
      <c r="L8" s="273"/>
      <c r="M8" s="94">
        <f t="shared" si="0"/>
        <v>0.17633200000000002</v>
      </c>
      <c r="N8" s="263"/>
      <c r="O8" s="293"/>
      <c r="P8" s="95">
        <v>2.93E-2</v>
      </c>
      <c r="Q8" s="263"/>
      <c r="R8" s="96">
        <f t="shared" si="1"/>
        <v>6.6008999999999998E-2</v>
      </c>
      <c r="S8" s="113">
        <f t="shared" si="2"/>
        <v>0.65746100000000007</v>
      </c>
      <c r="T8" s="53">
        <v>0.17</v>
      </c>
      <c r="U8" s="97">
        <f t="shared" si="3"/>
        <v>0.82746100000000011</v>
      </c>
      <c r="V8" s="125">
        <v>1080</v>
      </c>
      <c r="W8" s="114">
        <f t="shared" si="4"/>
        <v>893.65788000000009</v>
      </c>
    </row>
    <row r="9" spans="1:23" x14ac:dyDescent="0.25">
      <c r="A9" s="34" t="s">
        <v>32</v>
      </c>
      <c r="B9" s="263"/>
      <c r="C9" s="263"/>
      <c r="D9" s="263"/>
      <c r="E9" s="289"/>
      <c r="F9" s="273"/>
      <c r="G9" s="93">
        <v>6.6224999999999992E-2</v>
      </c>
      <c r="H9" s="263"/>
      <c r="I9" s="263"/>
      <c r="J9" s="263"/>
      <c r="K9" s="273"/>
      <c r="L9" s="273"/>
      <c r="M9" s="94">
        <f t="shared" si="0"/>
        <v>0.17660899999999999</v>
      </c>
      <c r="N9" s="263"/>
      <c r="O9" s="293"/>
      <c r="P9" s="95">
        <v>2.3699999999999999E-2</v>
      </c>
      <c r="Q9" s="263"/>
      <c r="R9" s="96">
        <f t="shared" si="1"/>
        <v>6.0408999999999997E-2</v>
      </c>
      <c r="S9" s="113">
        <f t="shared" si="2"/>
        <v>0.65213800000000011</v>
      </c>
      <c r="T9" s="53">
        <v>0.186</v>
      </c>
      <c r="U9" s="97">
        <f t="shared" si="3"/>
        <v>0.83813800000000005</v>
      </c>
      <c r="V9" s="125">
        <v>3440</v>
      </c>
      <c r="W9" s="114">
        <f t="shared" si="4"/>
        <v>2883.19472</v>
      </c>
    </row>
    <row r="10" spans="1:23" x14ac:dyDescent="0.25">
      <c r="A10" s="34" t="s">
        <v>33</v>
      </c>
      <c r="B10" s="263"/>
      <c r="C10" s="263"/>
      <c r="D10" s="263"/>
      <c r="E10" s="289"/>
      <c r="F10" s="273"/>
      <c r="G10" s="93">
        <v>4.9484E-2</v>
      </c>
      <c r="H10" s="263"/>
      <c r="I10" s="263"/>
      <c r="J10" s="263"/>
      <c r="K10" s="273"/>
      <c r="L10" s="273"/>
      <c r="M10" s="94">
        <f t="shared" si="0"/>
        <v>0.15986800000000001</v>
      </c>
      <c r="N10" s="263"/>
      <c r="O10" s="293"/>
      <c r="P10" s="95">
        <v>1.7000000000000001E-2</v>
      </c>
      <c r="Q10" s="263"/>
      <c r="R10" s="96">
        <f t="shared" si="1"/>
        <v>5.3709E-2</v>
      </c>
      <c r="S10" s="113">
        <f t="shared" si="2"/>
        <v>0.62869700000000006</v>
      </c>
      <c r="T10" s="53">
        <v>0.186</v>
      </c>
      <c r="U10" s="97">
        <f t="shared" si="3"/>
        <v>0.814697</v>
      </c>
      <c r="V10" s="125">
        <v>25000</v>
      </c>
      <c r="W10" s="114">
        <f t="shared" si="4"/>
        <v>20367.424999999999</v>
      </c>
    </row>
    <row r="11" spans="1:23" x14ac:dyDescent="0.25">
      <c r="A11" s="34" t="s">
        <v>34</v>
      </c>
      <c r="B11" s="274"/>
      <c r="C11" s="274"/>
      <c r="D11" s="274"/>
      <c r="E11" s="290"/>
      <c r="F11" s="283"/>
      <c r="G11" s="93">
        <v>2.5066000000000001E-2</v>
      </c>
      <c r="H11" s="274"/>
      <c r="I11" s="274"/>
      <c r="J11" s="274"/>
      <c r="K11" s="283"/>
      <c r="L11" s="283"/>
      <c r="M11" s="94">
        <f t="shared" si="0"/>
        <v>0.13545000000000001</v>
      </c>
      <c r="N11" s="274"/>
      <c r="O11" s="294"/>
      <c r="P11" s="98">
        <v>7.1000000000000004E-3</v>
      </c>
      <c r="Q11" s="274"/>
      <c r="R11" s="96">
        <f t="shared" si="1"/>
        <v>4.3809000000000001E-2</v>
      </c>
      <c r="S11" s="115"/>
      <c r="T11" s="116"/>
      <c r="U11" s="117"/>
      <c r="V11" s="118"/>
      <c r="W11" s="119"/>
    </row>
    <row r="12" spans="1:23" x14ac:dyDescent="0.25">
      <c r="A12" s="99" t="s">
        <v>74</v>
      </c>
      <c r="B12" s="100"/>
      <c r="C12" s="101"/>
      <c r="D12" s="100"/>
      <c r="E12" s="102"/>
      <c r="F12" s="103"/>
      <c r="G12" s="100"/>
      <c r="H12" s="104"/>
      <c r="I12" s="100"/>
      <c r="J12" s="100"/>
      <c r="K12" s="100"/>
      <c r="L12" s="100"/>
      <c r="M12" s="102"/>
      <c r="N12" s="102"/>
      <c r="O12" s="101"/>
      <c r="P12" s="104"/>
      <c r="Q12" s="105"/>
      <c r="R12" s="105"/>
      <c r="S12" s="122"/>
      <c r="T12" s="123"/>
      <c r="U12" s="122"/>
      <c r="V12" s="5">
        <f>SUM(V6:V11)</f>
        <v>30000</v>
      </c>
      <c r="W12" s="124">
        <f>SUM(W6:W11)</f>
        <v>24526.21456</v>
      </c>
    </row>
    <row r="13" spans="1:23" x14ac:dyDescent="0.25">
      <c r="A13" s="106" t="s">
        <v>75</v>
      </c>
      <c r="B13" s="273" t="s">
        <v>73</v>
      </c>
      <c r="C13" s="273" t="s">
        <v>73</v>
      </c>
      <c r="D13" s="271">
        <v>57.43</v>
      </c>
      <c r="E13" s="275">
        <f>+D13</f>
        <v>57.43</v>
      </c>
      <c r="F13" s="107">
        <v>67.290000000000006</v>
      </c>
      <c r="G13" s="273" t="s">
        <v>73</v>
      </c>
      <c r="H13" s="273" t="s">
        <v>73</v>
      </c>
      <c r="I13" s="273" t="s">
        <v>73</v>
      </c>
      <c r="J13" s="273" t="s">
        <v>73</v>
      </c>
      <c r="K13" s="271">
        <v>-0.33</v>
      </c>
      <c r="L13" s="271">
        <v>0</v>
      </c>
      <c r="M13" s="108">
        <v>66.960000000000008</v>
      </c>
      <c r="N13" s="280" t="s">
        <v>73</v>
      </c>
      <c r="O13" s="280" t="s">
        <v>73</v>
      </c>
      <c r="P13" s="271">
        <v>-21.63</v>
      </c>
      <c r="Q13" s="273" t="s">
        <v>73</v>
      </c>
      <c r="R13" s="275">
        <v>-21.63</v>
      </c>
      <c r="S13" s="122"/>
      <c r="T13" s="123"/>
      <c r="U13" s="122"/>
      <c r="V13" s="122"/>
      <c r="W13" s="122"/>
    </row>
    <row r="14" spans="1:23" x14ac:dyDescent="0.25">
      <c r="A14" s="106" t="s">
        <v>76</v>
      </c>
      <c r="B14" s="263"/>
      <c r="C14" s="263"/>
      <c r="D14" s="271"/>
      <c r="E14" s="275"/>
      <c r="F14" s="107">
        <v>469.33000000000004</v>
      </c>
      <c r="G14" s="263"/>
      <c r="H14" s="263"/>
      <c r="I14" s="263"/>
      <c r="J14" s="263"/>
      <c r="K14" s="271"/>
      <c r="L14" s="271"/>
      <c r="M14" s="108">
        <v>469.00000000000006</v>
      </c>
      <c r="N14" s="281"/>
      <c r="O14" s="281"/>
      <c r="P14" s="271"/>
      <c r="Q14" s="263"/>
      <c r="R14" s="275"/>
      <c r="S14" s="122"/>
      <c r="T14" s="123"/>
      <c r="U14" s="122"/>
      <c r="V14" s="126" t="s">
        <v>80</v>
      </c>
      <c r="W14" s="127">
        <f>W12/V12</f>
        <v>0.81754048533333334</v>
      </c>
    </row>
    <row r="15" spans="1:23" x14ac:dyDescent="0.25">
      <c r="A15" s="109" t="s">
        <v>77</v>
      </c>
      <c r="B15" s="274"/>
      <c r="C15" s="274"/>
      <c r="D15" s="272"/>
      <c r="E15" s="276"/>
      <c r="F15" s="110">
        <v>964.39</v>
      </c>
      <c r="G15" s="274"/>
      <c r="H15" s="274"/>
      <c r="I15" s="274"/>
      <c r="J15" s="274"/>
      <c r="K15" s="272"/>
      <c r="L15" s="272"/>
      <c r="M15" s="111">
        <v>964.06</v>
      </c>
      <c r="N15" s="282"/>
      <c r="O15" s="282"/>
      <c r="P15" s="272"/>
      <c r="Q15" s="274"/>
      <c r="R15" s="276"/>
    </row>
    <row r="16" spans="1:23" x14ac:dyDescent="0.25">
      <c r="A16" s="112" t="s">
        <v>78</v>
      </c>
      <c r="B16" s="277" t="s">
        <v>79</v>
      </c>
      <c r="C16" s="278"/>
      <c r="D16" s="278"/>
      <c r="E16" s="278"/>
      <c r="F16" s="278"/>
      <c r="G16" s="278"/>
      <c r="H16" s="278"/>
      <c r="I16" s="278"/>
      <c r="J16" s="278"/>
      <c r="K16" s="278"/>
      <c r="L16" s="278"/>
      <c r="M16" s="278"/>
      <c r="N16" s="278"/>
      <c r="O16" s="278"/>
      <c r="P16" s="278"/>
      <c r="Q16" s="278"/>
      <c r="R16" s="279"/>
    </row>
    <row r="20" spans="2:3" x14ac:dyDescent="0.25">
      <c r="B20" s="155" t="s">
        <v>305</v>
      </c>
      <c r="C20" s="158">
        <f>$E$13+M13+$R$13</f>
        <v>102.76000000000002</v>
      </c>
    </row>
    <row r="21" spans="2:3" x14ac:dyDescent="0.25">
      <c r="B21" s="155" t="s">
        <v>306</v>
      </c>
      <c r="C21" s="158">
        <f t="shared" ref="C21:C22" si="5">$E$13+M14+$R$13</f>
        <v>504.80000000000007</v>
      </c>
    </row>
    <row r="22" spans="2:3" x14ac:dyDescent="0.25">
      <c r="B22" s="155" t="s">
        <v>307</v>
      </c>
      <c r="C22" s="158">
        <f t="shared" si="5"/>
        <v>999.8599999999999</v>
      </c>
    </row>
  </sheetData>
  <mergeCells count="32">
    <mergeCell ref="Q6:Q11"/>
    <mergeCell ref="E2:E4"/>
    <mergeCell ref="M2:M4"/>
    <mergeCell ref="R2:R4"/>
    <mergeCell ref="B6:B11"/>
    <mergeCell ref="C6:C11"/>
    <mergeCell ref="D6:D11"/>
    <mergeCell ref="E6:E11"/>
    <mergeCell ref="F6:F11"/>
    <mergeCell ref="H6:H11"/>
    <mergeCell ref="I6:I11"/>
    <mergeCell ref="J6:J11"/>
    <mergeCell ref="K6:K11"/>
    <mergeCell ref="L6:L11"/>
    <mergeCell ref="N6:N11"/>
    <mergeCell ref="O6:O11"/>
    <mergeCell ref="P13:P15"/>
    <mergeCell ref="Q13:Q15"/>
    <mergeCell ref="R13:R15"/>
    <mergeCell ref="B16:R16"/>
    <mergeCell ref="I13:I15"/>
    <mergeCell ref="J13:J15"/>
    <mergeCell ref="K13:K15"/>
    <mergeCell ref="L13:L15"/>
    <mergeCell ref="N13:N15"/>
    <mergeCell ref="O13:O15"/>
    <mergeCell ref="B13:B15"/>
    <mergeCell ref="C13:C15"/>
    <mergeCell ref="D13:D15"/>
    <mergeCell ref="E13:E15"/>
    <mergeCell ref="G13:G15"/>
    <mergeCell ref="H13:H15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C820F-5B9A-4CD6-8977-4A82063685AB}">
  <sheetPr>
    <tabColor rgb="FF92D050"/>
  </sheetPr>
  <dimension ref="A1:W22"/>
  <sheetViews>
    <sheetView workbookViewId="0">
      <selection activeCell="C20" sqref="C20"/>
    </sheetView>
  </sheetViews>
  <sheetFormatPr defaultRowHeight="15" x14ac:dyDescent="0.25"/>
  <cols>
    <col min="1" max="1" width="22.28515625" customWidth="1"/>
    <col min="22" max="22" width="11.42578125" bestFit="1" customWidth="1"/>
    <col min="23" max="23" width="12" bestFit="1" customWidth="1"/>
  </cols>
  <sheetData>
    <row r="1" spans="1:23" ht="15.75" x14ac:dyDescent="0.25">
      <c r="A1" s="74" t="s">
        <v>62</v>
      </c>
      <c r="B1" s="32"/>
      <c r="C1" s="32"/>
      <c r="D1" s="32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</row>
    <row r="2" spans="1:23" ht="25.5" x14ac:dyDescent="0.25">
      <c r="A2" s="77" t="s">
        <v>63</v>
      </c>
      <c r="B2" s="32"/>
      <c r="C2" s="32"/>
      <c r="D2" s="32"/>
      <c r="E2" s="286" t="s">
        <v>64</v>
      </c>
      <c r="F2" s="75"/>
      <c r="G2" s="75"/>
      <c r="H2" s="75"/>
      <c r="I2" s="75"/>
      <c r="J2" s="75"/>
      <c r="K2" s="75"/>
      <c r="L2" s="75"/>
      <c r="M2" s="286" t="s">
        <v>65</v>
      </c>
      <c r="N2" s="78"/>
      <c r="O2" s="75"/>
      <c r="P2" s="75"/>
      <c r="Q2" s="75"/>
      <c r="R2" s="286" t="s">
        <v>66</v>
      </c>
    </row>
    <row r="3" spans="1:23" x14ac:dyDescent="0.25">
      <c r="A3" s="79" t="s">
        <v>67</v>
      </c>
      <c r="B3" s="32"/>
      <c r="C3" s="32"/>
      <c r="D3" s="32"/>
      <c r="E3" s="287"/>
      <c r="F3" s="75"/>
      <c r="G3" s="75"/>
      <c r="H3" s="75"/>
      <c r="I3" s="75"/>
      <c r="J3" s="75"/>
      <c r="K3" s="75"/>
      <c r="L3" s="75"/>
      <c r="M3" s="287"/>
      <c r="N3" s="78"/>
      <c r="O3" s="75"/>
      <c r="P3" s="75"/>
      <c r="Q3" s="75"/>
      <c r="R3" s="287"/>
    </row>
    <row r="4" spans="1:23" x14ac:dyDescent="0.25">
      <c r="A4" s="220" t="s">
        <v>611</v>
      </c>
      <c r="B4" s="81" t="s">
        <v>39</v>
      </c>
      <c r="C4" s="82" t="s">
        <v>40</v>
      </c>
      <c r="D4" s="82" t="s">
        <v>41</v>
      </c>
      <c r="E4" s="288"/>
      <c r="F4" s="83" t="s">
        <v>46</v>
      </c>
      <c r="G4" s="84" t="s">
        <v>47</v>
      </c>
      <c r="H4" s="84" t="s">
        <v>48</v>
      </c>
      <c r="I4" s="84" t="s">
        <v>53</v>
      </c>
      <c r="J4" s="84" t="s">
        <v>49</v>
      </c>
      <c r="K4" s="85" t="s">
        <v>68</v>
      </c>
      <c r="L4" s="86" t="s">
        <v>69</v>
      </c>
      <c r="M4" s="288"/>
      <c r="N4" s="84" t="s">
        <v>51</v>
      </c>
      <c r="O4" s="83" t="s">
        <v>52</v>
      </c>
      <c r="P4" s="87" t="s">
        <v>50</v>
      </c>
      <c r="Q4" s="87" t="s">
        <v>70</v>
      </c>
      <c r="R4" s="288"/>
    </row>
    <row r="5" spans="1:23" ht="25.5" x14ac:dyDescent="0.25">
      <c r="A5" s="33" t="s">
        <v>71</v>
      </c>
      <c r="B5" s="88"/>
      <c r="C5" s="89"/>
      <c r="D5" s="89"/>
      <c r="E5" s="90"/>
      <c r="F5" s="89"/>
      <c r="G5" s="88"/>
      <c r="H5" s="89"/>
      <c r="I5" s="89"/>
      <c r="J5" s="89"/>
      <c r="K5" s="89"/>
      <c r="L5" s="89"/>
      <c r="M5" s="91"/>
      <c r="N5" s="91"/>
      <c r="O5" s="88"/>
      <c r="P5" s="89"/>
      <c r="Q5" s="92"/>
      <c r="R5" s="92"/>
      <c r="S5" s="67" t="s">
        <v>81</v>
      </c>
      <c r="T5" s="120" t="s">
        <v>57</v>
      </c>
      <c r="U5" s="67" t="s">
        <v>82</v>
      </c>
      <c r="V5" s="67" t="s">
        <v>83</v>
      </c>
      <c r="W5" s="121" t="s">
        <v>84</v>
      </c>
    </row>
    <row r="6" spans="1:23" x14ac:dyDescent="0.25">
      <c r="A6" s="34" t="s">
        <v>72</v>
      </c>
      <c r="B6" s="311">
        <v>0.35366900000000001</v>
      </c>
      <c r="C6" s="263">
        <v>2.6733E-2</v>
      </c>
      <c r="D6" s="263">
        <v>7.9459999999999999E-3</v>
      </c>
      <c r="E6" s="289">
        <f>SUM(B6:D11)</f>
        <v>0.38834800000000003</v>
      </c>
      <c r="F6" s="273" t="s">
        <v>73</v>
      </c>
      <c r="G6" s="93">
        <v>0</v>
      </c>
      <c r="H6" s="263">
        <v>9.0533000000000002E-2</v>
      </c>
      <c r="I6" s="263">
        <v>1.186E-3</v>
      </c>
      <c r="J6" s="263">
        <v>3.4837E-2</v>
      </c>
      <c r="K6" s="273" t="s">
        <v>73</v>
      </c>
      <c r="L6" s="273" t="s">
        <v>73</v>
      </c>
      <c r="M6" s="94">
        <f>G6+$H$6+$I$6+$J$6</f>
        <v>0.126556</v>
      </c>
      <c r="N6" s="263">
        <v>0</v>
      </c>
      <c r="O6" s="299">
        <v>2.9416999999999999E-2</v>
      </c>
      <c r="P6" s="95">
        <v>0</v>
      </c>
      <c r="Q6" s="263">
        <v>7.2920000000000007E-3</v>
      </c>
      <c r="R6" s="96">
        <f>$N$6+$O$6+P6+$Q$6</f>
        <v>3.6708999999999999E-2</v>
      </c>
      <c r="S6" s="113">
        <f>$E$6+M6+R6</f>
        <v>0.55161300000000002</v>
      </c>
      <c r="T6" s="53">
        <v>4.3999999999999997E-2</v>
      </c>
      <c r="U6" s="97">
        <f>S6+T6</f>
        <v>0.59561300000000006</v>
      </c>
      <c r="V6" s="125">
        <v>120</v>
      </c>
      <c r="W6" s="114">
        <f>U6*V6</f>
        <v>71.473560000000006</v>
      </c>
    </row>
    <row r="7" spans="1:23" x14ac:dyDescent="0.25">
      <c r="A7" s="34" t="s">
        <v>30</v>
      </c>
      <c r="B7" s="311"/>
      <c r="C7" s="263"/>
      <c r="D7" s="263"/>
      <c r="E7" s="289"/>
      <c r="F7" s="273"/>
      <c r="G7" s="93">
        <v>7.2051999999999991E-2</v>
      </c>
      <c r="H7" s="263"/>
      <c r="I7" s="263"/>
      <c r="J7" s="263"/>
      <c r="K7" s="273"/>
      <c r="L7" s="273"/>
      <c r="M7" s="94">
        <f t="shared" ref="M7:M11" si="0">G7+$H$6+$I$6+$J$6</f>
        <v>0.19860799999999998</v>
      </c>
      <c r="N7" s="263"/>
      <c r="O7" s="299"/>
      <c r="P7" s="95">
        <v>4.9599999999999998E-2</v>
      </c>
      <c r="Q7" s="263"/>
      <c r="R7" s="96">
        <f t="shared" ref="R7:R11" si="1">$N$6+$O$6+P7+$Q$6</f>
        <v>8.6309000000000011E-2</v>
      </c>
      <c r="S7" s="113">
        <f t="shared" ref="S7:S10" si="2">$E$6+M7+R7</f>
        <v>0.673265</v>
      </c>
      <c r="T7" s="53">
        <v>0.17499999999999999</v>
      </c>
      <c r="U7" s="97">
        <f t="shared" ref="U7:U10" si="3">S7+T7</f>
        <v>0.84826500000000005</v>
      </c>
      <c r="V7" s="125">
        <v>360</v>
      </c>
      <c r="W7" s="114">
        <f t="shared" ref="W7:W10" si="4">U7*V7</f>
        <v>305.37540000000001</v>
      </c>
    </row>
    <row r="8" spans="1:23" x14ac:dyDescent="0.25">
      <c r="A8" s="34" t="s">
        <v>31</v>
      </c>
      <c r="B8" s="311"/>
      <c r="C8" s="263"/>
      <c r="D8" s="263"/>
      <c r="E8" s="289"/>
      <c r="F8" s="273"/>
      <c r="G8" s="93">
        <v>6.5948000000000007E-2</v>
      </c>
      <c r="H8" s="263"/>
      <c r="I8" s="263"/>
      <c r="J8" s="263"/>
      <c r="K8" s="273"/>
      <c r="L8" s="273"/>
      <c r="M8" s="94">
        <f t="shared" si="0"/>
        <v>0.19250400000000001</v>
      </c>
      <c r="N8" s="263"/>
      <c r="O8" s="299"/>
      <c r="P8" s="95">
        <v>2.93E-2</v>
      </c>
      <c r="Q8" s="263"/>
      <c r="R8" s="96">
        <f t="shared" si="1"/>
        <v>6.6008999999999998E-2</v>
      </c>
      <c r="S8" s="113">
        <f t="shared" si="2"/>
        <v>0.64686100000000002</v>
      </c>
      <c r="T8" s="53">
        <v>0.17</v>
      </c>
      <c r="U8" s="97">
        <f t="shared" si="3"/>
        <v>0.81686100000000006</v>
      </c>
      <c r="V8" s="125">
        <v>1080</v>
      </c>
      <c r="W8" s="114">
        <f t="shared" si="4"/>
        <v>882.20988000000011</v>
      </c>
    </row>
    <row r="9" spans="1:23" x14ac:dyDescent="0.25">
      <c r="A9" s="34" t="s">
        <v>32</v>
      </c>
      <c r="B9" s="311"/>
      <c r="C9" s="263"/>
      <c r="D9" s="263"/>
      <c r="E9" s="289"/>
      <c r="F9" s="273"/>
      <c r="G9" s="93">
        <v>6.6224999999999992E-2</v>
      </c>
      <c r="H9" s="263"/>
      <c r="I9" s="263"/>
      <c r="J9" s="263"/>
      <c r="K9" s="273"/>
      <c r="L9" s="273"/>
      <c r="M9" s="94">
        <f t="shared" si="0"/>
        <v>0.19278100000000001</v>
      </c>
      <c r="N9" s="263"/>
      <c r="O9" s="299"/>
      <c r="P9" s="95">
        <v>2.3699999999999999E-2</v>
      </c>
      <c r="Q9" s="263"/>
      <c r="R9" s="96">
        <f t="shared" si="1"/>
        <v>6.0408999999999997E-2</v>
      </c>
      <c r="S9" s="113">
        <f t="shared" si="2"/>
        <v>0.64153800000000005</v>
      </c>
      <c r="T9" s="53">
        <v>0.186</v>
      </c>
      <c r="U9" s="97">
        <f t="shared" si="3"/>
        <v>0.82753800000000011</v>
      </c>
      <c r="V9" s="125">
        <v>3440</v>
      </c>
      <c r="W9" s="114">
        <f t="shared" si="4"/>
        <v>2846.7307200000005</v>
      </c>
    </row>
    <row r="10" spans="1:23" x14ac:dyDescent="0.25">
      <c r="A10" s="34" t="s">
        <v>33</v>
      </c>
      <c r="B10" s="311"/>
      <c r="C10" s="263"/>
      <c r="D10" s="263"/>
      <c r="E10" s="289"/>
      <c r="F10" s="273"/>
      <c r="G10" s="93">
        <v>4.9484E-2</v>
      </c>
      <c r="H10" s="263"/>
      <c r="I10" s="263"/>
      <c r="J10" s="263"/>
      <c r="K10" s="273"/>
      <c r="L10" s="273"/>
      <c r="M10" s="94">
        <f t="shared" si="0"/>
        <v>0.17604</v>
      </c>
      <c r="N10" s="263"/>
      <c r="O10" s="299"/>
      <c r="P10" s="95">
        <v>1.7000000000000001E-2</v>
      </c>
      <c r="Q10" s="263"/>
      <c r="R10" s="96">
        <f t="shared" si="1"/>
        <v>5.3709E-2</v>
      </c>
      <c r="S10" s="113">
        <f t="shared" si="2"/>
        <v>0.61809700000000001</v>
      </c>
      <c r="T10" s="53">
        <v>0.186</v>
      </c>
      <c r="U10" s="97">
        <f t="shared" si="3"/>
        <v>0.80409700000000006</v>
      </c>
      <c r="V10" s="125">
        <v>25000</v>
      </c>
      <c r="W10" s="114">
        <f t="shared" si="4"/>
        <v>20102.425000000003</v>
      </c>
    </row>
    <row r="11" spans="1:23" x14ac:dyDescent="0.25">
      <c r="A11" s="34" t="s">
        <v>34</v>
      </c>
      <c r="B11" s="312"/>
      <c r="C11" s="274"/>
      <c r="D11" s="274"/>
      <c r="E11" s="290"/>
      <c r="F11" s="283"/>
      <c r="G11" s="93">
        <v>2.5066000000000001E-2</v>
      </c>
      <c r="H11" s="274"/>
      <c r="I11" s="274"/>
      <c r="J11" s="274"/>
      <c r="K11" s="283"/>
      <c r="L11" s="283"/>
      <c r="M11" s="94">
        <f t="shared" si="0"/>
        <v>0.15162200000000001</v>
      </c>
      <c r="N11" s="274"/>
      <c r="O11" s="300"/>
      <c r="P11" s="98">
        <v>7.1000000000000004E-3</v>
      </c>
      <c r="Q11" s="274"/>
      <c r="R11" s="96">
        <f t="shared" si="1"/>
        <v>4.3809000000000001E-2</v>
      </c>
      <c r="S11" s="115"/>
      <c r="T11" s="116"/>
      <c r="U11" s="117"/>
      <c r="V11" s="118"/>
      <c r="W11" s="119"/>
    </row>
    <row r="12" spans="1:23" x14ac:dyDescent="0.25">
      <c r="A12" s="99" t="s">
        <v>74</v>
      </c>
      <c r="B12" s="100"/>
      <c r="C12" s="101"/>
      <c r="D12" s="100"/>
      <c r="E12" s="102"/>
      <c r="F12" s="103"/>
      <c r="G12" s="100"/>
      <c r="H12" s="104"/>
      <c r="I12" s="100"/>
      <c r="J12" s="100"/>
      <c r="K12" s="100"/>
      <c r="L12" s="100"/>
      <c r="M12" s="102"/>
      <c r="N12" s="102"/>
      <c r="O12" s="101"/>
      <c r="P12" s="104"/>
      <c r="Q12" s="105"/>
      <c r="R12" s="105"/>
      <c r="S12" s="122"/>
      <c r="T12" s="123"/>
      <c r="U12" s="122"/>
      <c r="V12" s="5">
        <f>SUM(V6:V11)</f>
        <v>30000</v>
      </c>
      <c r="W12" s="124">
        <f>SUM(W6:W11)</f>
        <v>24208.214560000004</v>
      </c>
    </row>
    <row r="13" spans="1:23" x14ac:dyDescent="0.25">
      <c r="A13" s="106" t="s">
        <v>75</v>
      </c>
      <c r="B13" s="273" t="s">
        <v>73</v>
      </c>
      <c r="C13" s="273" t="s">
        <v>73</v>
      </c>
      <c r="D13" s="271">
        <v>57.43</v>
      </c>
      <c r="E13" s="275">
        <f>+D13</f>
        <v>57.43</v>
      </c>
      <c r="F13" s="107">
        <v>67.290000000000006</v>
      </c>
      <c r="G13" s="273" t="s">
        <v>73</v>
      </c>
      <c r="H13" s="273" t="s">
        <v>73</v>
      </c>
      <c r="I13" s="273" t="s">
        <v>73</v>
      </c>
      <c r="J13" s="273" t="s">
        <v>73</v>
      </c>
      <c r="K13" s="271">
        <v>-0.33</v>
      </c>
      <c r="L13" s="271">
        <v>0</v>
      </c>
      <c r="M13" s="108">
        <v>66.960000000000008</v>
      </c>
      <c r="N13" s="280" t="s">
        <v>73</v>
      </c>
      <c r="O13" s="280" t="s">
        <v>73</v>
      </c>
      <c r="P13" s="271">
        <v>-21.63</v>
      </c>
      <c r="Q13" s="273" t="s">
        <v>73</v>
      </c>
      <c r="R13" s="275">
        <v>-21.63</v>
      </c>
      <c r="S13" s="122"/>
      <c r="T13" s="123"/>
      <c r="U13" s="122"/>
      <c r="V13" s="122"/>
      <c r="W13" s="122"/>
    </row>
    <row r="14" spans="1:23" x14ac:dyDescent="0.25">
      <c r="A14" s="106" t="s">
        <v>76</v>
      </c>
      <c r="B14" s="263"/>
      <c r="C14" s="263"/>
      <c r="D14" s="271"/>
      <c r="E14" s="275"/>
      <c r="F14" s="107">
        <v>469.33000000000004</v>
      </c>
      <c r="G14" s="263"/>
      <c r="H14" s="263"/>
      <c r="I14" s="263"/>
      <c r="J14" s="263"/>
      <c r="K14" s="271"/>
      <c r="L14" s="271"/>
      <c r="M14" s="108">
        <v>469.00000000000006</v>
      </c>
      <c r="N14" s="281"/>
      <c r="O14" s="281"/>
      <c r="P14" s="271"/>
      <c r="Q14" s="263"/>
      <c r="R14" s="275"/>
      <c r="S14" s="122"/>
      <c r="T14" s="123"/>
      <c r="U14" s="122"/>
      <c r="V14" s="126" t="s">
        <v>80</v>
      </c>
      <c r="W14" s="127">
        <f>W12/V12</f>
        <v>0.80694048533333351</v>
      </c>
    </row>
    <row r="15" spans="1:23" x14ac:dyDescent="0.25">
      <c r="A15" s="109" t="s">
        <v>77</v>
      </c>
      <c r="B15" s="274"/>
      <c r="C15" s="274"/>
      <c r="D15" s="272"/>
      <c r="E15" s="276"/>
      <c r="F15" s="110">
        <v>964.39</v>
      </c>
      <c r="G15" s="274"/>
      <c r="H15" s="274"/>
      <c r="I15" s="274"/>
      <c r="J15" s="274"/>
      <c r="K15" s="272"/>
      <c r="L15" s="272"/>
      <c r="M15" s="111">
        <v>964.06</v>
      </c>
      <c r="N15" s="282"/>
      <c r="O15" s="282"/>
      <c r="P15" s="272"/>
      <c r="Q15" s="274"/>
      <c r="R15" s="276"/>
    </row>
    <row r="16" spans="1:23" x14ac:dyDescent="0.25">
      <c r="A16" s="112" t="s">
        <v>78</v>
      </c>
      <c r="B16" s="277" t="s">
        <v>79</v>
      </c>
      <c r="C16" s="278"/>
      <c r="D16" s="278"/>
      <c r="E16" s="278"/>
      <c r="F16" s="278"/>
      <c r="G16" s="278"/>
      <c r="H16" s="278"/>
      <c r="I16" s="278"/>
      <c r="J16" s="278"/>
      <c r="K16" s="278"/>
      <c r="L16" s="278"/>
      <c r="M16" s="278"/>
      <c r="N16" s="278"/>
      <c r="O16" s="278"/>
      <c r="P16" s="278"/>
      <c r="Q16" s="278"/>
      <c r="R16" s="279"/>
    </row>
    <row r="20" spans="2:3" x14ac:dyDescent="0.25">
      <c r="B20" s="155" t="s">
        <v>305</v>
      </c>
      <c r="C20" s="158">
        <f>$E$13+M13+$R$13</f>
        <v>102.76000000000002</v>
      </c>
    </row>
    <row r="21" spans="2:3" x14ac:dyDescent="0.25">
      <c r="B21" s="155" t="s">
        <v>306</v>
      </c>
      <c r="C21" s="158">
        <f t="shared" ref="C21:C22" si="5">$E$13+M14+$R$13</f>
        <v>504.80000000000007</v>
      </c>
    </row>
    <row r="22" spans="2:3" x14ac:dyDescent="0.25">
      <c r="B22" s="155" t="s">
        <v>307</v>
      </c>
      <c r="C22" s="158">
        <f t="shared" si="5"/>
        <v>999.8599999999999</v>
      </c>
    </row>
  </sheetData>
  <mergeCells count="32">
    <mergeCell ref="Q6:Q11"/>
    <mergeCell ref="E2:E4"/>
    <mergeCell ref="M2:M4"/>
    <mergeCell ref="R2:R4"/>
    <mergeCell ref="B6:B11"/>
    <mergeCell ref="C6:C11"/>
    <mergeCell ref="D6:D11"/>
    <mergeCell ref="E6:E11"/>
    <mergeCell ref="F6:F11"/>
    <mergeCell ref="H6:H11"/>
    <mergeCell ref="I6:I11"/>
    <mergeCell ref="J6:J11"/>
    <mergeCell ref="K6:K11"/>
    <mergeCell ref="L6:L11"/>
    <mergeCell ref="N6:N11"/>
    <mergeCell ref="O6:O11"/>
    <mergeCell ref="P13:P15"/>
    <mergeCell ref="Q13:Q15"/>
    <mergeCell ref="R13:R15"/>
    <mergeCell ref="B16:R16"/>
    <mergeCell ref="I13:I15"/>
    <mergeCell ref="J13:J15"/>
    <mergeCell ref="K13:K15"/>
    <mergeCell ref="L13:L15"/>
    <mergeCell ref="N13:N15"/>
    <mergeCell ref="O13:O15"/>
    <mergeCell ref="B13:B15"/>
    <mergeCell ref="C13:C15"/>
    <mergeCell ref="D13:D15"/>
    <mergeCell ref="E13:E15"/>
    <mergeCell ref="G13:G15"/>
    <mergeCell ref="H13:H1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14"/>
  <dimension ref="A1:M80"/>
  <sheetViews>
    <sheetView topLeftCell="A69" workbookViewId="0">
      <selection activeCell="I87" sqref="I87"/>
    </sheetView>
  </sheetViews>
  <sheetFormatPr defaultRowHeight="15" x14ac:dyDescent="0.25"/>
  <cols>
    <col min="1" max="1" width="15" bestFit="1" customWidth="1"/>
    <col min="2" max="2" width="15" customWidth="1"/>
    <col min="3" max="3" width="16.7109375" customWidth="1"/>
    <col min="5" max="5" width="28" customWidth="1"/>
    <col min="6" max="6" width="23.85546875" bestFit="1" customWidth="1"/>
    <col min="8" max="8" width="13.7109375" customWidth="1"/>
    <col min="9" max="9" width="12" bestFit="1" customWidth="1"/>
    <col min="13" max="13" width="10.42578125" bestFit="1" customWidth="1"/>
  </cols>
  <sheetData>
    <row r="1" spans="1:13" ht="25.5" x14ac:dyDescent="0.25">
      <c r="A1" s="128" t="s">
        <v>85</v>
      </c>
      <c r="B1" s="129" t="s">
        <v>609</v>
      </c>
      <c r="C1" s="129"/>
      <c r="D1" s="130"/>
      <c r="E1" s="131" t="s">
        <v>86</v>
      </c>
      <c r="F1" s="132" t="s">
        <v>87</v>
      </c>
      <c r="G1" s="160" t="s">
        <v>308</v>
      </c>
      <c r="H1" s="132" t="s">
        <v>88</v>
      </c>
      <c r="I1" s="161" t="s">
        <v>309</v>
      </c>
    </row>
    <row r="2" spans="1:13" ht="27" customHeight="1" x14ac:dyDescent="0.25">
      <c r="A2" s="133" t="s">
        <v>89</v>
      </c>
      <c r="B2" s="133" t="str">
        <f>_xlfn.XLOOKUP(A2,[1]Foglio1!$A:$A,[1]Foglio1!$G:$G)</f>
        <v>03160000213943</v>
      </c>
      <c r="C2" s="134" t="s">
        <v>90</v>
      </c>
      <c r="D2" s="135" t="s">
        <v>91</v>
      </c>
      <c r="E2" s="136" t="s">
        <v>92</v>
      </c>
      <c r="F2" s="136" t="s">
        <v>93</v>
      </c>
      <c r="G2" s="137" t="s">
        <v>305</v>
      </c>
      <c r="H2" s="137" t="s">
        <v>94</v>
      </c>
      <c r="I2" s="162">
        <f>VLOOKUP(G2,'PMP_2024-2025'!$J$21:$K$23,2,FALSE)</f>
        <v>103.70142465753426</v>
      </c>
    </row>
    <row r="3" spans="1:13" ht="27" customHeight="1" x14ac:dyDescent="0.25">
      <c r="A3" s="133" t="s">
        <v>95</v>
      </c>
      <c r="B3" s="133" t="str">
        <f>_xlfn.XLOOKUP(A3,[1]Foglio1!$A:$A,[1]Foglio1!$G:$G)</f>
        <v>03160000220396</v>
      </c>
      <c r="C3" s="134" t="s">
        <v>96</v>
      </c>
      <c r="D3" s="135" t="s">
        <v>91</v>
      </c>
      <c r="E3" s="136" t="s">
        <v>92</v>
      </c>
      <c r="F3" s="136" t="s">
        <v>97</v>
      </c>
      <c r="G3" s="137" t="s">
        <v>306</v>
      </c>
      <c r="H3" s="137" t="s">
        <v>98</v>
      </c>
      <c r="I3" s="162">
        <f>VLOOKUP(G3,'PMP_2024-2025'!$J$21:$K$23,2,FALSE)</f>
        <v>510.54027397260279</v>
      </c>
    </row>
    <row r="4" spans="1:13" ht="27" customHeight="1" x14ac:dyDescent="0.25">
      <c r="A4" s="133" t="s">
        <v>99</v>
      </c>
      <c r="B4" s="133" t="str">
        <f>_xlfn.XLOOKUP(A4,[1]Foglio1!$A:$A,[1]Foglio1!$G:$G)</f>
        <v>03160000223029</v>
      </c>
      <c r="C4" s="134" t="s">
        <v>100</v>
      </c>
      <c r="D4" s="135" t="s">
        <v>91</v>
      </c>
      <c r="E4" s="136" t="s">
        <v>92</v>
      </c>
      <c r="F4" s="136" t="s">
        <v>101</v>
      </c>
      <c r="G4" s="137" t="s">
        <v>306</v>
      </c>
      <c r="H4" s="137" t="s">
        <v>102</v>
      </c>
      <c r="I4" s="162">
        <f>VLOOKUP(G4,'PMP_2024-2025'!$J$21:$K$23,2,FALSE)</f>
        <v>510.54027397260279</v>
      </c>
    </row>
    <row r="5" spans="1:13" ht="27" customHeight="1" x14ac:dyDescent="0.25">
      <c r="A5" s="133" t="s">
        <v>103</v>
      </c>
      <c r="B5" s="133" t="str">
        <f>_xlfn.XLOOKUP(A5,[1]Foglio1!$A:$A,[1]Foglio1!$G:$G)</f>
        <v>03160000223030</v>
      </c>
      <c r="C5" s="134" t="s">
        <v>104</v>
      </c>
      <c r="D5" s="135" t="s">
        <v>91</v>
      </c>
      <c r="E5" s="136" t="s">
        <v>92</v>
      </c>
      <c r="F5" s="136" t="s">
        <v>105</v>
      </c>
      <c r="G5" s="137" t="s">
        <v>306</v>
      </c>
      <c r="H5" s="137" t="s">
        <v>106</v>
      </c>
      <c r="I5" s="162">
        <f>VLOOKUP(G5,'PMP_2024-2025'!$J$21:$K$23,2,FALSE)</f>
        <v>510.54027397260279</v>
      </c>
    </row>
    <row r="6" spans="1:13" ht="27" customHeight="1" x14ac:dyDescent="0.25">
      <c r="A6" s="133" t="s">
        <v>107</v>
      </c>
      <c r="B6" s="133" t="str">
        <f>_xlfn.XLOOKUP(A6,[1]Foglio1!$A:$A,[1]Foglio1!$G:$G)</f>
        <v>03160000223117</v>
      </c>
      <c r="C6" s="134" t="s">
        <v>108</v>
      </c>
      <c r="D6" s="135" t="s">
        <v>91</v>
      </c>
      <c r="E6" s="136" t="s">
        <v>92</v>
      </c>
      <c r="F6" s="136" t="s">
        <v>109</v>
      </c>
      <c r="G6" s="137" t="s">
        <v>306</v>
      </c>
      <c r="H6" s="137" t="s">
        <v>98</v>
      </c>
      <c r="I6" s="162">
        <f>VLOOKUP(G6,'PMP_2024-2025'!$J$21:$K$23,2,FALSE)</f>
        <v>510.54027397260279</v>
      </c>
    </row>
    <row r="7" spans="1:13" ht="27" customHeight="1" x14ac:dyDescent="0.25">
      <c r="A7" s="133" t="s">
        <v>110</v>
      </c>
      <c r="B7" s="133">
        <f>_xlfn.XLOOKUP(A7,[1]Foglio1!$A:$A,[1]Foglio1!$G:$G)</f>
        <v>0</v>
      </c>
      <c r="C7" s="134" t="s">
        <v>111</v>
      </c>
      <c r="D7" s="135" t="s">
        <v>91</v>
      </c>
      <c r="E7" s="136" t="s">
        <v>92</v>
      </c>
      <c r="F7" s="136" t="s">
        <v>112</v>
      </c>
      <c r="G7" s="137" t="s">
        <v>306</v>
      </c>
      <c r="H7" s="137" t="s">
        <v>102</v>
      </c>
      <c r="I7" s="162">
        <f>VLOOKUP(G7,'PMP_2024-2025'!$J$21:$K$23,2,FALSE)</f>
        <v>510.54027397260279</v>
      </c>
      <c r="M7" s="138"/>
    </row>
    <row r="8" spans="1:13" ht="27" customHeight="1" x14ac:dyDescent="0.25">
      <c r="A8" s="133" t="s">
        <v>113</v>
      </c>
      <c r="B8" s="133" t="str">
        <f>_xlfn.XLOOKUP(A8,[1]Foglio1!$A:$A,[1]Foglio1!$G:$G)</f>
        <v>03160000223352</v>
      </c>
      <c r="C8" s="134" t="s">
        <v>114</v>
      </c>
      <c r="D8" s="135" t="s">
        <v>91</v>
      </c>
      <c r="E8" s="136" t="s">
        <v>92</v>
      </c>
      <c r="F8" s="136" t="s">
        <v>115</v>
      </c>
      <c r="G8" s="137" t="s">
        <v>306</v>
      </c>
      <c r="H8" s="137" t="s">
        <v>102</v>
      </c>
      <c r="I8" s="162">
        <f>VLOOKUP(G8,'PMP_2024-2025'!$J$21:$K$23,2,FALSE)</f>
        <v>510.54027397260279</v>
      </c>
    </row>
    <row r="9" spans="1:13" ht="27" customHeight="1" x14ac:dyDescent="0.25">
      <c r="A9" s="133" t="s">
        <v>116</v>
      </c>
      <c r="B9" s="133" t="str">
        <f>_xlfn.XLOOKUP(A9,[1]Foglio1!$A:$A,[1]Foglio1!$G:$G)</f>
        <v>03160000223665</v>
      </c>
      <c r="C9" s="134" t="s">
        <v>117</v>
      </c>
      <c r="D9" s="135" t="s">
        <v>91</v>
      </c>
      <c r="E9" s="136" t="s">
        <v>92</v>
      </c>
      <c r="F9" s="136" t="s">
        <v>118</v>
      </c>
      <c r="G9" s="137" t="s">
        <v>306</v>
      </c>
      <c r="H9" s="137" t="s">
        <v>102</v>
      </c>
      <c r="I9" s="162">
        <f>VLOOKUP(G9,'PMP_2024-2025'!$J$21:$K$23,2,FALSE)</f>
        <v>510.54027397260279</v>
      </c>
    </row>
    <row r="10" spans="1:13" ht="27" customHeight="1" x14ac:dyDescent="0.25">
      <c r="A10" s="133" t="s">
        <v>119</v>
      </c>
      <c r="B10" s="133" t="str">
        <f>_xlfn.XLOOKUP(A10,[1]Foglio1!$A:$A,[1]Foglio1!$G:$G)</f>
        <v>03160000227314</v>
      </c>
      <c r="C10" s="134" t="s">
        <v>120</v>
      </c>
      <c r="D10" s="135" t="s">
        <v>91</v>
      </c>
      <c r="E10" s="136" t="s">
        <v>92</v>
      </c>
      <c r="F10" s="136" t="s">
        <v>121</v>
      </c>
      <c r="G10" s="137" t="s">
        <v>305</v>
      </c>
      <c r="H10" s="137" t="s">
        <v>94</v>
      </c>
      <c r="I10" s="162">
        <f>VLOOKUP(G10,'PMP_2024-2025'!$J$21:$K$23,2,FALSE)</f>
        <v>103.70142465753426</v>
      </c>
    </row>
    <row r="11" spans="1:13" ht="27" customHeight="1" x14ac:dyDescent="0.25">
      <c r="A11" s="133" t="s">
        <v>122</v>
      </c>
      <c r="B11" s="133" t="str">
        <f>_xlfn.XLOOKUP(A11,[1]Foglio1!$A:$A,[1]Foglio1!$G:$G)</f>
        <v>03160000228773</v>
      </c>
      <c r="C11" s="134" t="s">
        <v>123</v>
      </c>
      <c r="D11" s="135" t="s">
        <v>91</v>
      </c>
      <c r="E11" s="136" t="s">
        <v>92</v>
      </c>
      <c r="F11" s="136" t="s">
        <v>124</v>
      </c>
      <c r="G11" s="137" t="s">
        <v>306</v>
      </c>
      <c r="H11" s="137" t="s">
        <v>102</v>
      </c>
      <c r="I11" s="162">
        <f>VLOOKUP(G11,'PMP_2024-2025'!$J$21:$K$23,2,FALSE)</f>
        <v>510.54027397260279</v>
      </c>
    </row>
    <row r="12" spans="1:13" ht="27" customHeight="1" x14ac:dyDescent="0.25">
      <c r="A12" s="133" t="s">
        <v>125</v>
      </c>
      <c r="B12" s="133" t="str">
        <f>_xlfn.XLOOKUP(A12,[1]Foglio1!$A:$A,[1]Foglio1!$G:$G)</f>
        <v>03160000228944</v>
      </c>
      <c r="C12" s="134" t="s">
        <v>126</v>
      </c>
      <c r="D12" s="135" t="s">
        <v>91</v>
      </c>
      <c r="E12" s="136" t="s">
        <v>92</v>
      </c>
      <c r="F12" s="136" t="s">
        <v>127</v>
      </c>
      <c r="G12" s="137" t="s">
        <v>307</v>
      </c>
      <c r="H12" s="137" t="s">
        <v>128</v>
      </c>
      <c r="I12" s="162">
        <f>VLOOKUP(G12,'PMP_2024-2025'!$J$21:$K$23,2,FALSE)</f>
        <v>1015.5760547945202</v>
      </c>
    </row>
    <row r="13" spans="1:13" ht="27" customHeight="1" x14ac:dyDescent="0.25">
      <c r="A13" s="133" t="s">
        <v>129</v>
      </c>
      <c r="B13" s="133" t="str">
        <f>_xlfn.XLOOKUP(A13,[1]Foglio1!$A:$A,[1]Foglio1!$G:$G)</f>
        <v>03160000214424</v>
      </c>
      <c r="C13" s="134" t="s">
        <v>130</v>
      </c>
      <c r="D13" s="135" t="s">
        <v>91</v>
      </c>
      <c r="E13" s="136" t="s">
        <v>92</v>
      </c>
      <c r="F13" s="136" t="s">
        <v>131</v>
      </c>
      <c r="G13" s="137" t="s">
        <v>307</v>
      </c>
      <c r="H13" s="137" t="s">
        <v>132</v>
      </c>
      <c r="I13" s="162">
        <f>VLOOKUP(G13,'PMP_2024-2025'!$J$21:$K$23,2,FALSE)</f>
        <v>1015.5760547945202</v>
      </c>
    </row>
    <row r="14" spans="1:13" ht="27" customHeight="1" x14ac:dyDescent="0.25">
      <c r="A14" s="133" t="s">
        <v>133</v>
      </c>
      <c r="B14" s="133" t="str">
        <f>_xlfn.XLOOKUP(A14,[1]Foglio1!$A:$A,[1]Foglio1!$G:$G)</f>
        <v>03160000229187</v>
      </c>
      <c r="C14" s="134" t="s">
        <v>134</v>
      </c>
      <c r="D14" s="135" t="s">
        <v>91</v>
      </c>
      <c r="E14" s="136" t="s">
        <v>92</v>
      </c>
      <c r="F14" s="136" t="s">
        <v>135</v>
      </c>
      <c r="G14" s="137" t="s">
        <v>306</v>
      </c>
      <c r="H14" s="137" t="s">
        <v>102</v>
      </c>
      <c r="I14" s="162">
        <f>VLOOKUP(G14,'PMP_2024-2025'!$J$21:$K$23,2,FALSE)</f>
        <v>510.54027397260279</v>
      </c>
    </row>
    <row r="15" spans="1:13" ht="27" customHeight="1" x14ac:dyDescent="0.25">
      <c r="A15" s="133" t="s">
        <v>136</v>
      </c>
      <c r="B15" s="133" t="str">
        <f>_xlfn.XLOOKUP(A15,[1]Foglio1!$A:$A,[1]Foglio1!$G:$G)</f>
        <v>03160000229445</v>
      </c>
      <c r="C15" s="134" t="s">
        <v>137</v>
      </c>
      <c r="D15" s="135" t="s">
        <v>91</v>
      </c>
      <c r="E15" s="136" t="s">
        <v>92</v>
      </c>
      <c r="F15" s="136" t="s">
        <v>138</v>
      </c>
      <c r="G15" s="137" t="s">
        <v>306</v>
      </c>
      <c r="H15" s="137" t="s">
        <v>102</v>
      </c>
      <c r="I15" s="162">
        <f>VLOOKUP(G15,'PMP_2024-2025'!$J$21:$K$23,2,FALSE)</f>
        <v>510.54027397260279</v>
      </c>
    </row>
    <row r="16" spans="1:13" ht="27" customHeight="1" x14ac:dyDescent="0.25">
      <c r="A16" s="133" t="s">
        <v>139</v>
      </c>
      <c r="B16" s="133" t="str">
        <f>_xlfn.XLOOKUP(A16,[1]Foglio1!$A:$A,[1]Foglio1!$G:$G)</f>
        <v>03160000232773</v>
      </c>
      <c r="C16" s="134" t="s">
        <v>140</v>
      </c>
      <c r="D16" s="135" t="s">
        <v>91</v>
      </c>
      <c r="E16" s="136" t="s">
        <v>92</v>
      </c>
      <c r="F16" s="136" t="s">
        <v>141</v>
      </c>
      <c r="G16" s="137" t="s">
        <v>307</v>
      </c>
      <c r="H16" s="137" t="s">
        <v>132</v>
      </c>
      <c r="I16" s="162">
        <f>VLOOKUP(G16,'PMP_2024-2025'!$J$21:$K$23,2,FALSE)</f>
        <v>1015.5760547945202</v>
      </c>
    </row>
    <row r="17" spans="1:9" ht="27" customHeight="1" x14ac:dyDescent="0.25">
      <c r="A17" s="133" t="s">
        <v>142</v>
      </c>
      <c r="B17" s="133" t="str">
        <f>_xlfn.XLOOKUP(A17,[1]Foglio1!$A:$A,[1]Foglio1!$G:$G)</f>
        <v>03160000233090</v>
      </c>
      <c r="C17" s="134" t="s">
        <v>143</v>
      </c>
      <c r="D17" s="135" t="s">
        <v>91</v>
      </c>
      <c r="E17" s="136" t="s">
        <v>92</v>
      </c>
      <c r="F17" s="136" t="s">
        <v>144</v>
      </c>
      <c r="G17" s="137" t="s">
        <v>307</v>
      </c>
      <c r="H17" s="137" t="s">
        <v>132</v>
      </c>
      <c r="I17" s="162">
        <f>VLOOKUP(G17,'PMP_2024-2025'!$J$21:$K$23,2,FALSE)</f>
        <v>1015.5760547945202</v>
      </c>
    </row>
    <row r="18" spans="1:9" ht="27" customHeight="1" x14ac:dyDescent="0.25">
      <c r="A18" s="133" t="s">
        <v>145</v>
      </c>
      <c r="B18" s="133" t="str">
        <f>_xlfn.XLOOKUP(A18,[1]Foglio1!$A:$A,[1]Foglio1!$G:$G)</f>
        <v>03160000233179</v>
      </c>
      <c r="C18" s="134" t="s">
        <v>146</v>
      </c>
      <c r="D18" s="135" t="s">
        <v>91</v>
      </c>
      <c r="E18" s="136" t="s">
        <v>92</v>
      </c>
      <c r="F18" s="136" t="s">
        <v>147</v>
      </c>
      <c r="G18" s="137" t="s">
        <v>307</v>
      </c>
      <c r="H18" s="137" t="s">
        <v>148</v>
      </c>
      <c r="I18" s="162">
        <f>VLOOKUP(G18,'PMP_2024-2025'!$J$21:$K$23,2,FALSE)</f>
        <v>1015.5760547945202</v>
      </c>
    </row>
    <row r="19" spans="1:9" ht="27" customHeight="1" x14ac:dyDescent="0.25">
      <c r="A19" s="133" t="s">
        <v>149</v>
      </c>
      <c r="B19" s="133" t="str">
        <f>_xlfn.XLOOKUP(A19,[1]Foglio1!$A:$A,[1]Foglio1!$G:$G)</f>
        <v>03160000233842</v>
      </c>
      <c r="C19" s="134" t="s">
        <v>150</v>
      </c>
      <c r="D19" s="135" t="s">
        <v>91</v>
      </c>
      <c r="E19" s="136" t="s">
        <v>92</v>
      </c>
      <c r="F19" s="136" t="s">
        <v>151</v>
      </c>
      <c r="G19" s="137" t="s">
        <v>306</v>
      </c>
      <c r="H19" s="137" t="s">
        <v>102</v>
      </c>
      <c r="I19" s="162">
        <f>VLOOKUP(G19,'PMP_2024-2025'!$J$21:$K$23,2,FALSE)</f>
        <v>510.54027397260279</v>
      </c>
    </row>
    <row r="20" spans="1:9" ht="27" customHeight="1" x14ac:dyDescent="0.25">
      <c r="A20" s="133" t="s">
        <v>152</v>
      </c>
      <c r="B20" s="133" t="str">
        <f>_xlfn.XLOOKUP(A20,[1]Foglio1!$A:$A,[1]Foglio1!$G:$G)</f>
        <v>03160000233934</v>
      </c>
      <c r="C20" s="134" t="s">
        <v>153</v>
      </c>
      <c r="D20" s="135" t="s">
        <v>91</v>
      </c>
      <c r="E20" s="136" t="s">
        <v>92</v>
      </c>
      <c r="F20" s="136" t="s">
        <v>154</v>
      </c>
      <c r="G20" s="137" t="s">
        <v>307</v>
      </c>
      <c r="H20" s="137" t="s">
        <v>132</v>
      </c>
      <c r="I20" s="162">
        <f>VLOOKUP(G20,'PMP_2024-2025'!$J$21:$K$23,2,FALSE)</f>
        <v>1015.5760547945202</v>
      </c>
    </row>
    <row r="21" spans="1:9" ht="27" customHeight="1" x14ac:dyDescent="0.25">
      <c r="A21" s="133" t="s">
        <v>155</v>
      </c>
      <c r="B21" s="133" t="str">
        <f>_xlfn.XLOOKUP(A21,[1]Foglio1!$A:$A,[1]Foglio1!$G:$G)</f>
        <v>03160000233941</v>
      </c>
      <c r="C21" s="134" t="s">
        <v>156</v>
      </c>
      <c r="D21" s="135" t="s">
        <v>91</v>
      </c>
      <c r="E21" s="136" t="s">
        <v>92</v>
      </c>
      <c r="F21" s="136" t="s">
        <v>157</v>
      </c>
      <c r="G21" s="137" t="s">
        <v>305</v>
      </c>
      <c r="H21" s="137" t="s">
        <v>158</v>
      </c>
      <c r="I21" s="162">
        <f>VLOOKUP(G21,'PMP_2024-2025'!$J$21:$K$23,2,FALSE)</f>
        <v>103.70142465753426</v>
      </c>
    </row>
    <row r="22" spans="1:9" ht="27" customHeight="1" x14ac:dyDescent="0.25">
      <c r="A22" s="133" t="s">
        <v>159</v>
      </c>
      <c r="B22" s="133" t="str">
        <f>_xlfn.XLOOKUP(A22,[1]Foglio1!$A:$A,[1]Foglio1!$G:$G)</f>
        <v>03160000234600</v>
      </c>
      <c r="C22" s="134" t="s">
        <v>160</v>
      </c>
      <c r="D22" s="135" t="s">
        <v>91</v>
      </c>
      <c r="E22" s="136" t="s">
        <v>92</v>
      </c>
      <c r="F22" s="136" t="s">
        <v>161</v>
      </c>
      <c r="G22" s="137" t="s">
        <v>305</v>
      </c>
      <c r="H22" s="137" t="s">
        <v>158</v>
      </c>
      <c r="I22" s="162">
        <f>VLOOKUP(G22,'PMP_2024-2025'!$J$21:$K$23,2,FALSE)</f>
        <v>103.70142465753426</v>
      </c>
    </row>
    <row r="23" spans="1:9" ht="27" customHeight="1" x14ac:dyDescent="0.25">
      <c r="A23" s="133" t="s">
        <v>162</v>
      </c>
      <c r="B23" s="133" t="str">
        <f>_xlfn.XLOOKUP(A23,[1]Foglio1!$A:$A,[1]Foglio1!$G:$G)</f>
        <v>03160000234603</v>
      </c>
      <c r="C23" s="134" t="s">
        <v>163</v>
      </c>
      <c r="D23" s="135" t="s">
        <v>91</v>
      </c>
      <c r="E23" s="136" t="s">
        <v>92</v>
      </c>
      <c r="F23" s="136" t="s">
        <v>164</v>
      </c>
      <c r="G23" s="137" t="s">
        <v>307</v>
      </c>
      <c r="H23" s="137" t="s">
        <v>132</v>
      </c>
      <c r="I23" s="162">
        <f>VLOOKUP(G23,'PMP_2024-2025'!$J$21:$K$23,2,FALSE)</f>
        <v>1015.5760547945202</v>
      </c>
    </row>
    <row r="24" spans="1:9" ht="27" customHeight="1" x14ac:dyDescent="0.25">
      <c r="A24" s="133" t="s">
        <v>165</v>
      </c>
      <c r="B24" s="133">
        <f>_xlfn.XLOOKUP(A24,[1]Foglio1!$A:$A,[1]Foglio1!$G:$G)</f>
        <v>0</v>
      </c>
      <c r="C24" s="134" t="s">
        <v>166</v>
      </c>
      <c r="D24" s="135" t="s">
        <v>91</v>
      </c>
      <c r="E24" s="136" t="s">
        <v>92</v>
      </c>
      <c r="F24" s="136" t="s">
        <v>167</v>
      </c>
      <c r="G24" s="137" t="s">
        <v>306</v>
      </c>
      <c r="H24" s="137" t="s">
        <v>98</v>
      </c>
      <c r="I24" s="162">
        <f>VLOOKUP(G24,'PMP_2024-2025'!$J$21:$K$23,2,FALSE)</f>
        <v>510.54027397260279</v>
      </c>
    </row>
    <row r="25" spans="1:9" ht="27" customHeight="1" x14ac:dyDescent="0.25">
      <c r="A25" s="133" t="s">
        <v>168</v>
      </c>
      <c r="B25" s="133" t="str">
        <f>_xlfn.XLOOKUP(A25,[1]Foglio1!$A:$A,[1]Foglio1!$G:$G)</f>
        <v>03160000235415</v>
      </c>
      <c r="C25" s="134" t="s">
        <v>169</v>
      </c>
      <c r="D25" s="135" t="s">
        <v>91</v>
      </c>
      <c r="E25" s="136" t="s">
        <v>92</v>
      </c>
      <c r="F25" s="136" t="s">
        <v>170</v>
      </c>
      <c r="G25" s="137" t="s">
        <v>306</v>
      </c>
      <c r="H25" s="137" t="s">
        <v>102</v>
      </c>
      <c r="I25" s="162">
        <f>VLOOKUP(G25,'PMP_2024-2025'!$J$21:$K$23,2,FALSE)</f>
        <v>510.54027397260279</v>
      </c>
    </row>
    <row r="26" spans="1:9" ht="27" customHeight="1" x14ac:dyDescent="0.25">
      <c r="A26" s="133" t="s">
        <v>171</v>
      </c>
      <c r="B26" s="133" t="str">
        <f>_xlfn.XLOOKUP(A26,[1]Foglio1!$A:$A,[1]Foglio1!$G:$G)</f>
        <v>03160000235821</v>
      </c>
      <c r="C26" s="134" t="s">
        <v>172</v>
      </c>
      <c r="D26" s="135" t="s">
        <v>91</v>
      </c>
      <c r="E26" s="136" t="s">
        <v>92</v>
      </c>
      <c r="F26" s="136" t="s">
        <v>173</v>
      </c>
      <c r="G26" s="137" t="s">
        <v>306</v>
      </c>
      <c r="H26" s="137" t="s">
        <v>102</v>
      </c>
      <c r="I26" s="162">
        <f>VLOOKUP(G26,'PMP_2024-2025'!$J$21:$K$23,2,FALSE)</f>
        <v>510.54027397260279</v>
      </c>
    </row>
    <row r="27" spans="1:9" ht="27" customHeight="1" x14ac:dyDescent="0.25">
      <c r="A27" s="133" t="s">
        <v>174</v>
      </c>
      <c r="B27" s="133" t="str">
        <f>_xlfn.XLOOKUP(A27,[1]Foglio1!$A:$A,[1]Foglio1!$G:$G)</f>
        <v>03160000236054</v>
      </c>
      <c r="C27" s="134" t="s">
        <v>175</v>
      </c>
      <c r="D27" s="135" t="s">
        <v>91</v>
      </c>
      <c r="E27" s="136" t="s">
        <v>92</v>
      </c>
      <c r="F27" s="136" t="s">
        <v>176</v>
      </c>
      <c r="G27" s="137" t="s">
        <v>306</v>
      </c>
      <c r="H27" s="137" t="s">
        <v>98</v>
      </c>
      <c r="I27" s="162">
        <f>VLOOKUP(G27,'PMP_2024-2025'!$J$21:$K$23,2,FALSE)</f>
        <v>510.54027397260279</v>
      </c>
    </row>
    <row r="28" spans="1:9" ht="27" customHeight="1" x14ac:dyDescent="0.25">
      <c r="A28" s="133" t="s">
        <v>177</v>
      </c>
      <c r="B28" s="133" t="str">
        <f>_xlfn.XLOOKUP(A28,[1]Foglio1!$A:$A,[1]Foglio1!$G:$G)</f>
        <v>03160000237062</v>
      </c>
      <c r="C28" s="134" t="s">
        <v>178</v>
      </c>
      <c r="D28" s="135" t="s">
        <v>91</v>
      </c>
      <c r="E28" s="136" t="s">
        <v>92</v>
      </c>
      <c r="F28" s="136" t="s">
        <v>179</v>
      </c>
      <c r="G28" s="137" t="s">
        <v>306</v>
      </c>
      <c r="H28" s="137" t="s">
        <v>102</v>
      </c>
      <c r="I28" s="162">
        <f>VLOOKUP(G28,'PMP_2024-2025'!$J$21:$K$23,2,FALSE)</f>
        <v>510.54027397260279</v>
      </c>
    </row>
    <row r="29" spans="1:9" ht="27" customHeight="1" x14ac:dyDescent="0.25">
      <c r="A29" s="133" t="s">
        <v>180</v>
      </c>
      <c r="B29" s="133" t="str">
        <f>_xlfn.XLOOKUP(A29,[1]Foglio1!$A:$A,[1]Foglio1!$G:$G)</f>
        <v>03160000237064</v>
      </c>
      <c r="C29" s="134" t="s">
        <v>181</v>
      </c>
      <c r="D29" s="135" t="s">
        <v>91</v>
      </c>
      <c r="E29" s="136" t="s">
        <v>92</v>
      </c>
      <c r="F29" s="136" t="s">
        <v>182</v>
      </c>
      <c r="G29" s="137" t="s">
        <v>306</v>
      </c>
      <c r="H29" s="137" t="s">
        <v>98</v>
      </c>
      <c r="I29" s="162">
        <f>VLOOKUP(G29,'PMP_2024-2025'!$J$21:$K$23,2,FALSE)</f>
        <v>510.54027397260279</v>
      </c>
    </row>
    <row r="30" spans="1:9" ht="27" customHeight="1" x14ac:dyDescent="0.25">
      <c r="A30" s="133" t="s">
        <v>183</v>
      </c>
      <c r="B30" s="133" t="str">
        <f>_xlfn.XLOOKUP(A30,[1]Foglio1!$A:$A,[1]Foglio1!$G:$G)</f>
        <v>03160000238968</v>
      </c>
      <c r="C30" s="134" t="s">
        <v>184</v>
      </c>
      <c r="D30" s="135" t="s">
        <v>91</v>
      </c>
      <c r="E30" s="136" t="s">
        <v>92</v>
      </c>
      <c r="F30" s="136" t="s">
        <v>185</v>
      </c>
      <c r="G30" s="137" t="s">
        <v>306</v>
      </c>
      <c r="H30" s="137" t="s">
        <v>98</v>
      </c>
      <c r="I30" s="162">
        <f>VLOOKUP(G30,'PMP_2024-2025'!$J$21:$K$23,2,FALSE)</f>
        <v>510.54027397260279</v>
      </c>
    </row>
    <row r="31" spans="1:9" ht="27" customHeight="1" x14ac:dyDescent="0.25">
      <c r="A31" s="133" t="s">
        <v>186</v>
      </c>
      <c r="B31" s="133" t="str">
        <f>_xlfn.XLOOKUP(A31,[1]Foglio1!$A:$A,[1]Foglio1!$G:$G)</f>
        <v>03160000239418</v>
      </c>
      <c r="C31" s="134" t="s">
        <v>187</v>
      </c>
      <c r="D31" s="135" t="s">
        <v>91</v>
      </c>
      <c r="E31" s="136" t="s">
        <v>92</v>
      </c>
      <c r="F31" s="136" t="s">
        <v>188</v>
      </c>
      <c r="G31" s="137" t="s">
        <v>306</v>
      </c>
      <c r="H31" s="137" t="s">
        <v>98</v>
      </c>
      <c r="I31" s="162">
        <f>VLOOKUP(G31,'PMP_2024-2025'!$J$21:$K$23,2,FALSE)</f>
        <v>510.54027397260279</v>
      </c>
    </row>
    <row r="32" spans="1:9" ht="27" customHeight="1" x14ac:dyDescent="0.25">
      <c r="A32" s="133" t="s">
        <v>189</v>
      </c>
      <c r="B32" s="133" t="str">
        <f>_xlfn.XLOOKUP(A32,[1]Foglio1!$A:$A,[1]Foglio1!$G:$G)</f>
        <v>03160000241132</v>
      </c>
      <c r="C32" s="134" t="s">
        <v>190</v>
      </c>
      <c r="D32" s="135" t="s">
        <v>91</v>
      </c>
      <c r="E32" s="136" t="s">
        <v>92</v>
      </c>
      <c r="F32" s="136" t="s">
        <v>191</v>
      </c>
      <c r="G32" s="137" t="s">
        <v>306</v>
      </c>
      <c r="H32" s="137" t="s">
        <v>98</v>
      </c>
      <c r="I32" s="162">
        <f>VLOOKUP(G32,'PMP_2024-2025'!$J$21:$K$23,2,FALSE)</f>
        <v>510.54027397260279</v>
      </c>
    </row>
    <row r="33" spans="1:9" ht="27" customHeight="1" x14ac:dyDescent="0.25">
      <c r="A33" s="133" t="s">
        <v>192</v>
      </c>
      <c r="B33" s="133" t="str">
        <f>_xlfn.XLOOKUP(A33,[1]Foglio1!$A:$A,[1]Foglio1!$G:$G)</f>
        <v>03160000241203</v>
      </c>
      <c r="C33" s="134" t="s">
        <v>193</v>
      </c>
      <c r="D33" s="135" t="s">
        <v>91</v>
      </c>
      <c r="E33" s="136" t="s">
        <v>92</v>
      </c>
      <c r="F33" s="136" t="s">
        <v>194</v>
      </c>
      <c r="G33" s="137" t="s">
        <v>306</v>
      </c>
      <c r="H33" s="137" t="s">
        <v>106</v>
      </c>
      <c r="I33" s="162">
        <f>VLOOKUP(G33,'PMP_2024-2025'!$J$21:$K$23,2,FALSE)</f>
        <v>510.54027397260279</v>
      </c>
    </row>
    <row r="34" spans="1:9" ht="27" customHeight="1" x14ac:dyDescent="0.25">
      <c r="A34" s="133" t="s">
        <v>195</v>
      </c>
      <c r="B34" s="133" t="str">
        <f>_xlfn.XLOOKUP(A34,[1]Foglio1!$A:$A,[1]Foglio1!$G:$G)</f>
        <v>03160000217499</v>
      </c>
      <c r="C34" s="134" t="s">
        <v>196</v>
      </c>
      <c r="D34" s="135" t="s">
        <v>91</v>
      </c>
      <c r="E34" s="136" t="s">
        <v>92</v>
      </c>
      <c r="F34" s="136" t="s">
        <v>197</v>
      </c>
      <c r="G34" s="137" t="s">
        <v>306</v>
      </c>
      <c r="H34" s="137" t="s">
        <v>106</v>
      </c>
      <c r="I34" s="162">
        <f>VLOOKUP(G34,'PMP_2024-2025'!$J$21:$K$23,2,FALSE)</f>
        <v>510.54027397260279</v>
      </c>
    </row>
    <row r="35" spans="1:9" ht="27" customHeight="1" x14ac:dyDescent="0.25">
      <c r="A35" s="133" t="s">
        <v>198</v>
      </c>
      <c r="B35" s="133" t="str">
        <f>_xlfn.XLOOKUP(A35,[1]Foglio1!$A:$A,[1]Foglio1!$G:$G)</f>
        <v>03160000241323</v>
      </c>
      <c r="C35" s="134" t="s">
        <v>199</v>
      </c>
      <c r="D35" s="135" t="s">
        <v>91</v>
      </c>
      <c r="E35" s="136" t="s">
        <v>92</v>
      </c>
      <c r="F35" s="136" t="s">
        <v>200</v>
      </c>
      <c r="G35" s="137" t="s">
        <v>307</v>
      </c>
      <c r="H35" s="137" t="s">
        <v>148</v>
      </c>
      <c r="I35" s="162">
        <f>VLOOKUP(G35,'PMP_2024-2025'!$J$21:$K$23,2,FALSE)</f>
        <v>1015.5760547945202</v>
      </c>
    </row>
    <row r="36" spans="1:9" ht="27" customHeight="1" x14ac:dyDescent="0.25">
      <c r="A36" s="133" t="s">
        <v>201</v>
      </c>
      <c r="B36" s="133" t="str">
        <f>_xlfn.XLOOKUP(A36,[1]Foglio1!$A:$A,[1]Foglio1!$G:$G)</f>
        <v>03160000242026</v>
      </c>
      <c r="C36" s="134" t="s">
        <v>202</v>
      </c>
      <c r="D36" s="135" t="s">
        <v>91</v>
      </c>
      <c r="E36" s="136" t="s">
        <v>92</v>
      </c>
      <c r="F36" s="136" t="s">
        <v>203</v>
      </c>
      <c r="G36" s="137" t="s">
        <v>307</v>
      </c>
      <c r="H36" s="137" t="s">
        <v>148</v>
      </c>
      <c r="I36" s="162">
        <f>VLOOKUP(G36,'PMP_2024-2025'!$J$21:$K$23,2,FALSE)</f>
        <v>1015.5760547945202</v>
      </c>
    </row>
    <row r="37" spans="1:9" ht="27" customHeight="1" x14ac:dyDescent="0.25">
      <c r="A37" s="133" t="s">
        <v>204</v>
      </c>
      <c r="B37" s="133" t="str">
        <f>_xlfn.XLOOKUP(A37,[1]Foglio1!$A:$A,[1]Foglio1!$G:$G)</f>
        <v>03160000245499</v>
      </c>
      <c r="C37" s="134" t="s">
        <v>205</v>
      </c>
      <c r="D37" s="135" t="s">
        <v>91</v>
      </c>
      <c r="E37" s="136" t="s">
        <v>92</v>
      </c>
      <c r="F37" s="136" t="s">
        <v>206</v>
      </c>
      <c r="G37" s="137" t="s">
        <v>306</v>
      </c>
      <c r="H37" s="137" t="s">
        <v>98</v>
      </c>
      <c r="I37" s="162">
        <f>VLOOKUP(G37,'PMP_2024-2025'!$J$21:$K$23,2,FALSE)</f>
        <v>510.54027397260279</v>
      </c>
    </row>
    <row r="38" spans="1:9" ht="27" customHeight="1" x14ac:dyDescent="0.25">
      <c r="A38" s="133" t="s">
        <v>207</v>
      </c>
      <c r="B38" s="133" t="str">
        <f>_xlfn.XLOOKUP(A38,[1]Foglio1!$A:$A,[1]Foglio1!$G:$G)</f>
        <v>03160000247203</v>
      </c>
      <c r="C38" s="134" t="s">
        <v>208</v>
      </c>
      <c r="D38" s="135" t="s">
        <v>91</v>
      </c>
      <c r="E38" s="136" t="s">
        <v>92</v>
      </c>
      <c r="F38" s="136" t="s">
        <v>209</v>
      </c>
      <c r="G38" s="137" t="s">
        <v>305</v>
      </c>
      <c r="H38" s="137" t="s">
        <v>158</v>
      </c>
      <c r="I38" s="162">
        <f>VLOOKUP(G38,'PMP_2024-2025'!$J$21:$K$23,2,FALSE)</f>
        <v>103.70142465753426</v>
      </c>
    </row>
    <row r="39" spans="1:9" ht="27" customHeight="1" x14ac:dyDescent="0.25">
      <c r="A39" s="133" t="s">
        <v>210</v>
      </c>
      <c r="B39" s="133" t="str">
        <f>_xlfn.XLOOKUP(A39,[1]Foglio1!$A:$A,[1]Foglio1!$G:$G)</f>
        <v>03160000247432</v>
      </c>
      <c r="C39" s="134" t="s">
        <v>211</v>
      </c>
      <c r="D39" s="135" t="s">
        <v>91</v>
      </c>
      <c r="E39" s="136" t="s">
        <v>92</v>
      </c>
      <c r="F39" s="136" t="s">
        <v>212</v>
      </c>
      <c r="G39" s="137" t="s">
        <v>306</v>
      </c>
      <c r="H39" s="137" t="s">
        <v>106</v>
      </c>
      <c r="I39" s="162">
        <f>VLOOKUP(G39,'PMP_2024-2025'!$J$21:$K$23,2,FALSE)</f>
        <v>510.54027397260279</v>
      </c>
    </row>
    <row r="40" spans="1:9" ht="27" customHeight="1" x14ac:dyDescent="0.25">
      <c r="A40" s="133" t="s">
        <v>213</v>
      </c>
      <c r="B40" s="133" t="str">
        <f>_xlfn.XLOOKUP(A40,[1]Foglio1!$A:$A,[1]Foglio1!$G:$G)</f>
        <v>03160000249556</v>
      </c>
      <c r="C40" s="134" t="s">
        <v>214</v>
      </c>
      <c r="D40" s="135" t="s">
        <v>91</v>
      </c>
      <c r="E40" s="136" t="s">
        <v>92</v>
      </c>
      <c r="F40" s="136" t="s">
        <v>215</v>
      </c>
      <c r="G40" s="137" t="s">
        <v>307</v>
      </c>
      <c r="H40" s="137" t="s">
        <v>148</v>
      </c>
      <c r="I40" s="162">
        <f>VLOOKUP(G40,'PMP_2024-2025'!$J$21:$K$23,2,FALSE)</f>
        <v>1015.5760547945202</v>
      </c>
    </row>
    <row r="41" spans="1:9" ht="27" customHeight="1" x14ac:dyDescent="0.25">
      <c r="A41" s="133" t="s">
        <v>216</v>
      </c>
      <c r="B41" s="133" t="str">
        <f>_xlfn.XLOOKUP(A41,[1]Foglio1!$A:$A,[1]Foglio1!$G:$G)</f>
        <v>03160000250316</v>
      </c>
      <c r="C41" s="134" t="s">
        <v>217</v>
      </c>
      <c r="D41" s="135" t="s">
        <v>91</v>
      </c>
      <c r="E41" s="136" t="s">
        <v>92</v>
      </c>
      <c r="F41" s="136" t="s">
        <v>218</v>
      </c>
      <c r="G41" s="137" t="s">
        <v>305</v>
      </c>
      <c r="H41" s="137" t="s">
        <v>94</v>
      </c>
      <c r="I41" s="162">
        <f>VLOOKUP(G41,'PMP_2024-2025'!$J$21:$K$23,2,FALSE)</f>
        <v>103.70142465753426</v>
      </c>
    </row>
    <row r="42" spans="1:9" ht="27" customHeight="1" x14ac:dyDescent="0.25">
      <c r="A42" s="133" t="s">
        <v>219</v>
      </c>
      <c r="B42" s="133" t="str">
        <f>_xlfn.XLOOKUP(A42,[1]Foglio1!$A:$A,[1]Foglio1!$G:$G)</f>
        <v>03160000250895</v>
      </c>
      <c r="C42" s="134" t="s">
        <v>220</v>
      </c>
      <c r="D42" s="135" t="s">
        <v>91</v>
      </c>
      <c r="E42" s="136" t="s">
        <v>92</v>
      </c>
      <c r="F42" s="136" t="s">
        <v>221</v>
      </c>
      <c r="G42" s="137" t="s">
        <v>306</v>
      </c>
      <c r="H42" s="137" t="s">
        <v>106</v>
      </c>
      <c r="I42" s="162">
        <f>VLOOKUP(G42,'PMP_2024-2025'!$J$21:$K$23,2,FALSE)</f>
        <v>510.54027397260279</v>
      </c>
    </row>
    <row r="43" spans="1:9" ht="27" customHeight="1" x14ac:dyDescent="0.25">
      <c r="A43" s="133" t="s">
        <v>222</v>
      </c>
      <c r="B43" s="133" t="str">
        <f>_xlfn.XLOOKUP(A43,[1]Foglio1!$A:$A,[1]Foglio1!$G:$G)</f>
        <v>03160000251183</v>
      </c>
      <c r="C43" s="134" t="s">
        <v>223</v>
      </c>
      <c r="D43" s="135" t="s">
        <v>91</v>
      </c>
      <c r="E43" s="136" t="s">
        <v>92</v>
      </c>
      <c r="F43" s="136" t="s">
        <v>224</v>
      </c>
      <c r="G43" s="137" t="s">
        <v>306</v>
      </c>
      <c r="H43" s="137" t="s">
        <v>98</v>
      </c>
      <c r="I43" s="162">
        <f>VLOOKUP(G43,'PMP_2024-2025'!$J$21:$K$23,2,FALSE)</f>
        <v>510.54027397260279</v>
      </c>
    </row>
    <row r="44" spans="1:9" ht="27" customHeight="1" x14ac:dyDescent="0.25">
      <c r="A44" s="133" t="s">
        <v>225</v>
      </c>
      <c r="B44" s="133" t="str">
        <f>_xlfn.XLOOKUP(A44,[1]Foglio1!$A:$A,[1]Foglio1!$G:$G)</f>
        <v>03160000253211</v>
      </c>
      <c r="C44" s="134" t="s">
        <v>226</v>
      </c>
      <c r="D44" s="135" t="s">
        <v>91</v>
      </c>
      <c r="E44" s="136" t="s">
        <v>92</v>
      </c>
      <c r="F44" s="136" t="s">
        <v>227</v>
      </c>
      <c r="G44" s="137" t="s">
        <v>306</v>
      </c>
      <c r="H44" s="137" t="s">
        <v>228</v>
      </c>
      <c r="I44" s="162">
        <f>VLOOKUP(G44,'PMP_2024-2025'!$J$21:$K$23,2,FALSE)</f>
        <v>510.54027397260279</v>
      </c>
    </row>
    <row r="45" spans="1:9" ht="27" customHeight="1" x14ac:dyDescent="0.25">
      <c r="A45" s="133" t="s">
        <v>229</v>
      </c>
      <c r="B45" s="133" t="str">
        <f>_xlfn.XLOOKUP(A45,[1]Foglio1!$A:$A,[1]Foglio1!$G:$G)</f>
        <v>03160000217569</v>
      </c>
      <c r="C45" s="134" t="s">
        <v>230</v>
      </c>
      <c r="D45" s="135" t="s">
        <v>91</v>
      </c>
      <c r="E45" s="136" t="s">
        <v>92</v>
      </c>
      <c r="F45" s="136" t="s">
        <v>231</v>
      </c>
      <c r="G45" s="137" t="s">
        <v>306</v>
      </c>
      <c r="H45" s="137" t="s">
        <v>228</v>
      </c>
      <c r="I45" s="162">
        <f>VLOOKUP(G45,'PMP_2024-2025'!$J$21:$K$23,2,FALSE)</f>
        <v>510.54027397260279</v>
      </c>
    </row>
    <row r="46" spans="1:9" ht="27" customHeight="1" x14ac:dyDescent="0.25">
      <c r="A46" s="133" t="s">
        <v>232</v>
      </c>
      <c r="B46" s="133" t="str">
        <f>_xlfn.XLOOKUP(A46,[1]Foglio1!$A:$A,[1]Foglio1!$G:$G)</f>
        <v>03160000253480</v>
      </c>
      <c r="C46" s="134" t="s">
        <v>233</v>
      </c>
      <c r="D46" s="135" t="s">
        <v>91</v>
      </c>
      <c r="E46" s="136" t="s">
        <v>92</v>
      </c>
      <c r="F46" s="136" t="s">
        <v>234</v>
      </c>
      <c r="G46" s="137" t="s">
        <v>307</v>
      </c>
      <c r="H46" s="137" t="s">
        <v>132</v>
      </c>
      <c r="I46" s="162">
        <f>VLOOKUP(G46,'PMP_2024-2025'!$J$21:$K$23,2,FALSE)</f>
        <v>1015.5760547945202</v>
      </c>
    </row>
    <row r="47" spans="1:9" ht="27" customHeight="1" x14ac:dyDescent="0.25">
      <c r="A47" s="133" t="s">
        <v>235</v>
      </c>
      <c r="B47" s="133" t="str">
        <f>_xlfn.XLOOKUP(A47,[1]Foglio1!$A:$A,[1]Foglio1!$G:$G)</f>
        <v>03160000255828</v>
      </c>
      <c r="C47" s="134" t="s">
        <v>236</v>
      </c>
      <c r="D47" s="135" t="s">
        <v>91</v>
      </c>
      <c r="E47" s="136" t="s">
        <v>92</v>
      </c>
      <c r="F47" s="136" t="s">
        <v>237</v>
      </c>
      <c r="G47" s="137" t="s">
        <v>307</v>
      </c>
      <c r="H47" s="137" t="s">
        <v>132</v>
      </c>
      <c r="I47" s="162">
        <f>VLOOKUP(G47,'PMP_2024-2025'!$J$21:$K$23,2,FALSE)</f>
        <v>1015.5760547945202</v>
      </c>
    </row>
    <row r="48" spans="1:9" ht="27" customHeight="1" x14ac:dyDescent="0.25">
      <c r="A48" s="133" t="s">
        <v>238</v>
      </c>
      <c r="B48" s="133" t="str">
        <f>_xlfn.XLOOKUP(A48,[1]Foglio1!$A:$A,[1]Foglio1!$G:$G)</f>
        <v>03160000258304</v>
      </c>
      <c r="C48" s="134" t="s">
        <v>239</v>
      </c>
      <c r="D48" s="135" t="s">
        <v>91</v>
      </c>
      <c r="E48" s="136" t="s">
        <v>92</v>
      </c>
      <c r="F48" s="136" t="s">
        <v>240</v>
      </c>
      <c r="G48" s="137" t="s">
        <v>305</v>
      </c>
      <c r="H48" s="137" t="s">
        <v>94</v>
      </c>
      <c r="I48" s="162">
        <f>VLOOKUP(G48,'PMP_2024-2025'!$J$21:$K$23,2,FALSE)</f>
        <v>103.70142465753426</v>
      </c>
    </row>
    <row r="49" spans="1:9" ht="27" customHeight="1" x14ac:dyDescent="0.25">
      <c r="A49" s="133" t="s">
        <v>241</v>
      </c>
      <c r="B49" s="133" t="str">
        <f>_xlfn.XLOOKUP(A49,[1]Foglio1!$A:$A,[1]Foglio1!$G:$G)</f>
        <v>03160000259872</v>
      </c>
      <c r="C49" s="134" t="s">
        <v>242</v>
      </c>
      <c r="D49" s="135" t="s">
        <v>91</v>
      </c>
      <c r="E49" s="136" t="s">
        <v>92</v>
      </c>
      <c r="F49" s="136" t="s">
        <v>243</v>
      </c>
      <c r="G49" s="137" t="s">
        <v>307</v>
      </c>
      <c r="H49" s="137" t="s">
        <v>128</v>
      </c>
      <c r="I49" s="162">
        <f>VLOOKUP(G49,'PMP_2024-2025'!$J$21:$K$23,2,FALSE)</f>
        <v>1015.5760547945202</v>
      </c>
    </row>
    <row r="50" spans="1:9" ht="27" customHeight="1" x14ac:dyDescent="0.25">
      <c r="A50" s="133" t="s">
        <v>244</v>
      </c>
      <c r="B50" s="133" t="str">
        <f>_xlfn.XLOOKUP(A50,[1]Foglio1!$A:$A,[1]Foglio1!$G:$G)</f>
        <v>03160000260168</v>
      </c>
      <c r="C50" s="134" t="s">
        <v>245</v>
      </c>
      <c r="D50" s="135" t="s">
        <v>91</v>
      </c>
      <c r="E50" s="136" t="s">
        <v>92</v>
      </c>
      <c r="F50" s="136" t="s">
        <v>246</v>
      </c>
      <c r="G50" s="137" t="s">
        <v>306</v>
      </c>
      <c r="H50" s="137" t="s">
        <v>102</v>
      </c>
      <c r="I50" s="162">
        <f>VLOOKUP(G50,'PMP_2024-2025'!$J$21:$K$23,2,FALSE)</f>
        <v>510.54027397260279</v>
      </c>
    </row>
    <row r="51" spans="1:9" ht="27" customHeight="1" x14ac:dyDescent="0.25">
      <c r="A51" s="133" t="s">
        <v>247</v>
      </c>
      <c r="B51" s="133" t="str">
        <f>_xlfn.XLOOKUP(A51,[1]Foglio1!$A:$A,[1]Foglio1!$G:$G)</f>
        <v>03160000260679</v>
      </c>
      <c r="C51" s="134" t="s">
        <v>248</v>
      </c>
      <c r="D51" s="135" t="s">
        <v>91</v>
      </c>
      <c r="E51" s="136" t="s">
        <v>92</v>
      </c>
      <c r="F51" s="136" t="s">
        <v>249</v>
      </c>
      <c r="G51" s="137" t="s">
        <v>307</v>
      </c>
      <c r="H51" s="137" t="s">
        <v>148</v>
      </c>
      <c r="I51" s="162">
        <f>VLOOKUP(G51,'PMP_2024-2025'!$J$21:$K$23,2,FALSE)</f>
        <v>1015.5760547945202</v>
      </c>
    </row>
    <row r="52" spans="1:9" ht="27" customHeight="1" x14ac:dyDescent="0.25">
      <c r="A52" s="133" t="s">
        <v>250</v>
      </c>
      <c r="B52" s="133" t="str">
        <f>_xlfn.XLOOKUP(A52,[1]Foglio1!$A:$A,[1]Foglio1!$G:$G)</f>
        <v>03160000261474</v>
      </c>
      <c r="C52" s="134" t="s">
        <v>251</v>
      </c>
      <c r="D52" s="135" t="s">
        <v>91</v>
      </c>
      <c r="E52" s="136" t="s">
        <v>92</v>
      </c>
      <c r="F52" s="136" t="s">
        <v>252</v>
      </c>
      <c r="G52" s="137" t="s">
        <v>307</v>
      </c>
      <c r="H52" s="137" t="s">
        <v>148</v>
      </c>
      <c r="I52" s="162">
        <f>VLOOKUP(G52,'PMP_2024-2025'!$J$21:$K$23,2,FALSE)</f>
        <v>1015.5760547945202</v>
      </c>
    </row>
    <row r="53" spans="1:9" ht="27" customHeight="1" x14ac:dyDescent="0.25">
      <c r="A53" s="133" t="s">
        <v>253</v>
      </c>
      <c r="B53" s="133" t="str">
        <f>_xlfn.XLOOKUP(A53,[1]Foglio1!$A:$A,[1]Foglio1!$G:$G)</f>
        <v>03160000261797</v>
      </c>
      <c r="C53" s="134" t="s">
        <v>254</v>
      </c>
      <c r="D53" s="135" t="s">
        <v>91</v>
      </c>
      <c r="E53" s="136" t="s">
        <v>92</v>
      </c>
      <c r="F53" s="136" t="s">
        <v>255</v>
      </c>
      <c r="G53" s="137" t="s">
        <v>306</v>
      </c>
      <c r="H53" s="137" t="s">
        <v>106</v>
      </c>
      <c r="I53" s="162">
        <f>VLOOKUP(G53,'PMP_2024-2025'!$J$21:$K$23,2,FALSE)</f>
        <v>510.54027397260279</v>
      </c>
    </row>
    <row r="54" spans="1:9" ht="27" customHeight="1" x14ac:dyDescent="0.25">
      <c r="A54" s="133" t="s">
        <v>256</v>
      </c>
      <c r="B54" s="133" t="str">
        <f>_xlfn.XLOOKUP(A54,[1]Foglio1!$A:$A,[1]Foglio1!$G:$G)</f>
        <v>03160000262944</v>
      </c>
      <c r="C54" s="134" t="s">
        <v>257</v>
      </c>
      <c r="D54" s="135" t="s">
        <v>91</v>
      </c>
      <c r="E54" s="136" t="s">
        <v>92</v>
      </c>
      <c r="F54" s="136" t="s">
        <v>258</v>
      </c>
      <c r="G54" s="137" t="s">
        <v>307</v>
      </c>
      <c r="H54" s="137" t="s">
        <v>259</v>
      </c>
      <c r="I54" s="162">
        <f>VLOOKUP(G54,'PMP_2024-2025'!$J$21:$K$23,2,FALSE)</f>
        <v>1015.5760547945202</v>
      </c>
    </row>
    <row r="55" spans="1:9" ht="27" customHeight="1" x14ac:dyDescent="0.25">
      <c r="A55" s="133" t="s">
        <v>260</v>
      </c>
      <c r="B55" s="133" t="str">
        <f>_xlfn.XLOOKUP(A55,[1]Foglio1!$A:$A,[1]Foglio1!$G:$G)</f>
        <v>03160000218316</v>
      </c>
      <c r="C55" s="134" t="s">
        <v>261</v>
      </c>
      <c r="D55" s="135" t="s">
        <v>91</v>
      </c>
      <c r="E55" s="136" t="s">
        <v>92</v>
      </c>
      <c r="F55" s="136" t="s">
        <v>262</v>
      </c>
      <c r="G55" s="137" t="s">
        <v>306</v>
      </c>
      <c r="H55" s="137" t="s">
        <v>106</v>
      </c>
      <c r="I55" s="162">
        <f>VLOOKUP(G55,'PMP_2024-2025'!$J$21:$K$23,2,FALSE)</f>
        <v>510.54027397260279</v>
      </c>
    </row>
    <row r="56" spans="1:9" ht="27" customHeight="1" x14ac:dyDescent="0.25">
      <c r="A56" s="133" t="s">
        <v>263</v>
      </c>
      <c r="B56" s="133" t="str">
        <f>_xlfn.XLOOKUP(A56,[1]Foglio1!$A:$A,[1]Foglio1!$G:$G)</f>
        <v>03160000332048</v>
      </c>
      <c r="C56" s="134" t="s">
        <v>264</v>
      </c>
      <c r="D56" s="135" t="s">
        <v>91</v>
      </c>
      <c r="E56" s="136" t="s">
        <v>92</v>
      </c>
      <c r="F56" s="136" t="s">
        <v>265</v>
      </c>
      <c r="G56" s="137" t="s">
        <v>305</v>
      </c>
      <c r="H56" s="137" t="s">
        <v>158</v>
      </c>
      <c r="I56" s="162">
        <f>VLOOKUP(G56,'PMP_2024-2025'!$J$21:$K$23,2,FALSE)</f>
        <v>103.70142465753426</v>
      </c>
    </row>
    <row r="57" spans="1:9" ht="27" customHeight="1" x14ac:dyDescent="0.25">
      <c r="A57" s="133" t="s">
        <v>266</v>
      </c>
      <c r="B57" s="133" t="str">
        <f>_xlfn.XLOOKUP(A57,[1]Foglio1!$A:$A,[1]Foglio1!$G:$G)</f>
        <v>03160000218324</v>
      </c>
      <c r="C57" s="134" t="s">
        <v>267</v>
      </c>
      <c r="D57" s="135" t="s">
        <v>91</v>
      </c>
      <c r="E57" s="136" t="s">
        <v>92</v>
      </c>
      <c r="F57" s="136" t="s">
        <v>268</v>
      </c>
      <c r="G57" s="137" t="s">
        <v>306</v>
      </c>
      <c r="H57" s="137" t="s">
        <v>98</v>
      </c>
      <c r="I57" s="162">
        <f>VLOOKUP(G57,'PMP_2024-2025'!$J$21:$K$23,2,FALSE)</f>
        <v>510.54027397260279</v>
      </c>
    </row>
    <row r="58" spans="1:9" ht="27" customHeight="1" x14ac:dyDescent="0.25">
      <c r="A58" s="133" t="s">
        <v>269</v>
      </c>
      <c r="B58" s="133" t="str">
        <f>_xlfn.XLOOKUP(A58,[1]Foglio1!$A:$A,[1]Foglio1!$G:$G)</f>
        <v>03160000218857</v>
      </c>
      <c r="C58" s="134" t="s">
        <v>270</v>
      </c>
      <c r="D58" s="135" t="s">
        <v>91</v>
      </c>
      <c r="E58" s="136" t="s">
        <v>92</v>
      </c>
      <c r="F58" s="136" t="s">
        <v>271</v>
      </c>
      <c r="G58" s="137" t="s">
        <v>307</v>
      </c>
      <c r="H58" s="137" t="s">
        <v>148</v>
      </c>
      <c r="I58" s="162">
        <f>VLOOKUP(G58,'PMP_2024-2025'!$J$21:$K$23,2,FALSE)</f>
        <v>1015.5760547945202</v>
      </c>
    </row>
    <row r="59" spans="1:9" ht="27" customHeight="1" x14ac:dyDescent="0.25">
      <c r="A59" s="133" t="s">
        <v>272</v>
      </c>
      <c r="B59" s="133" t="str">
        <f>_xlfn.XLOOKUP(A59,[1]Foglio1!$A:$A,[1]Foglio1!$G:$G)</f>
        <v>03160000219205</v>
      </c>
      <c r="C59" s="134" t="s">
        <v>273</v>
      </c>
      <c r="D59" s="135" t="s">
        <v>91</v>
      </c>
      <c r="E59" s="136" t="s">
        <v>92</v>
      </c>
      <c r="F59" s="136" t="s">
        <v>274</v>
      </c>
      <c r="G59" s="137" t="s">
        <v>306</v>
      </c>
      <c r="H59" s="137" t="s">
        <v>102</v>
      </c>
      <c r="I59" s="162">
        <f>VLOOKUP(G59,'PMP_2024-2025'!$J$21:$K$23,2,FALSE)</f>
        <v>510.54027397260279</v>
      </c>
    </row>
    <row r="60" spans="1:9" ht="27" customHeight="1" x14ac:dyDescent="0.25">
      <c r="A60" s="133" t="s">
        <v>275</v>
      </c>
      <c r="B60" s="133" t="str">
        <f>_xlfn.XLOOKUP(A60,[1]Foglio1!$A:$A,[1]Foglio1!$G:$G)</f>
        <v>03160000216323</v>
      </c>
      <c r="C60" s="134" t="s">
        <v>276</v>
      </c>
      <c r="D60" s="135" t="s">
        <v>91</v>
      </c>
      <c r="E60" s="136" t="s">
        <v>92</v>
      </c>
      <c r="F60" s="136" t="s">
        <v>277</v>
      </c>
      <c r="G60" s="137" t="s">
        <v>306</v>
      </c>
      <c r="H60" s="137" t="s">
        <v>106</v>
      </c>
      <c r="I60" s="162">
        <f>VLOOKUP(G60,'PMP_2024-2025'!$J$21:$K$23,2,FALSE)</f>
        <v>510.54027397260279</v>
      </c>
    </row>
    <row r="61" spans="1:9" ht="27" customHeight="1" x14ac:dyDescent="0.25">
      <c r="A61" s="133" t="s">
        <v>278</v>
      </c>
      <c r="B61" s="133" t="str">
        <f>_xlfn.XLOOKUP(A61,[1]Foglio1!$A:$A,[1]Foglio1!$G:$G)</f>
        <v>03160000269023</v>
      </c>
      <c r="C61" s="134" t="s">
        <v>279</v>
      </c>
      <c r="D61" s="135" t="s">
        <v>91</v>
      </c>
      <c r="E61" s="136" t="s">
        <v>92</v>
      </c>
      <c r="F61" s="136" t="s">
        <v>280</v>
      </c>
      <c r="G61" s="137" t="s">
        <v>307</v>
      </c>
      <c r="H61" s="137" t="s">
        <v>148</v>
      </c>
      <c r="I61" s="162">
        <f>VLOOKUP(G61,'PMP_2024-2025'!$J$21:$K$23,2,FALSE)</f>
        <v>1015.5760547945202</v>
      </c>
    </row>
    <row r="62" spans="1:9" ht="27" customHeight="1" x14ac:dyDescent="0.25">
      <c r="E62" s="136" t="s">
        <v>92</v>
      </c>
      <c r="F62" s="136" t="s">
        <v>281</v>
      </c>
      <c r="G62" s="137" t="s">
        <v>305</v>
      </c>
      <c r="H62" s="137" t="s">
        <v>158</v>
      </c>
      <c r="I62" s="162">
        <f>VLOOKUP(G62,'PMP_2024-2025'!$J$21:$K$23,2,FALSE)</f>
        <v>103.70142465753426</v>
      </c>
    </row>
    <row r="63" spans="1:9" ht="27" customHeight="1" x14ac:dyDescent="0.25">
      <c r="E63" s="136" t="s">
        <v>92</v>
      </c>
      <c r="F63" s="136" t="s">
        <v>282</v>
      </c>
      <c r="G63" s="137" t="s">
        <v>307</v>
      </c>
      <c r="H63" s="137" t="s">
        <v>148</v>
      </c>
      <c r="I63" s="162">
        <f>VLOOKUP(G63,'PMP_2024-2025'!$J$21:$K$23,2,FALSE)</f>
        <v>1015.5760547945202</v>
      </c>
    </row>
    <row r="64" spans="1:9" ht="27" customHeight="1" x14ac:dyDescent="0.25">
      <c r="E64" s="136" t="s">
        <v>92</v>
      </c>
      <c r="F64" s="136" t="s">
        <v>283</v>
      </c>
      <c r="G64" s="137" t="s">
        <v>306</v>
      </c>
      <c r="H64" s="137" t="s">
        <v>228</v>
      </c>
      <c r="I64" s="162">
        <f>VLOOKUP(G64,'PMP_2024-2025'!$J$21:$K$23,2,FALSE)</f>
        <v>510.54027397260279</v>
      </c>
    </row>
    <row r="65" spans="5:9" ht="27" customHeight="1" x14ac:dyDescent="0.25">
      <c r="E65" s="136" t="s">
        <v>92</v>
      </c>
      <c r="F65" s="136" t="s">
        <v>284</v>
      </c>
      <c r="G65" s="137" t="s">
        <v>306</v>
      </c>
      <c r="H65" s="137" t="s">
        <v>228</v>
      </c>
      <c r="I65" s="162">
        <f>VLOOKUP(G65,'PMP_2024-2025'!$J$21:$K$23,2,FALSE)</f>
        <v>510.54027397260279</v>
      </c>
    </row>
    <row r="66" spans="5:9" ht="27" customHeight="1" x14ac:dyDescent="0.25">
      <c r="E66" s="136" t="s">
        <v>92</v>
      </c>
      <c r="F66" s="136" t="s">
        <v>285</v>
      </c>
      <c r="G66" s="137" t="s">
        <v>306</v>
      </c>
      <c r="H66" s="137" t="s">
        <v>106</v>
      </c>
      <c r="I66" s="162">
        <f>VLOOKUP(G66,'PMP_2024-2025'!$J$21:$K$23,2,FALSE)</f>
        <v>510.54027397260279</v>
      </c>
    </row>
    <row r="67" spans="5:9" ht="27" customHeight="1" x14ac:dyDescent="0.25">
      <c r="E67" s="136" t="s">
        <v>92</v>
      </c>
      <c r="F67" s="136" t="s">
        <v>286</v>
      </c>
      <c r="G67" s="137" t="s">
        <v>306</v>
      </c>
      <c r="H67" s="137" t="s">
        <v>106</v>
      </c>
      <c r="I67" s="162">
        <f>VLOOKUP(G67,'PMP_2024-2025'!$J$21:$K$23,2,FALSE)</f>
        <v>510.54027397260279</v>
      </c>
    </row>
    <row r="68" spans="5:9" ht="27" customHeight="1" x14ac:dyDescent="0.25">
      <c r="E68" s="136" t="s">
        <v>92</v>
      </c>
      <c r="F68" s="136" t="s">
        <v>287</v>
      </c>
      <c r="G68" s="137" t="s">
        <v>306</v>
      </c>
      <c r="H68" s="137" t="s">
        <v>102</v>
      </c>
      <c r="I68" s="162">
        <f>VLOOKUP(G68,'PMP_2024-2025'!$J$21:$K$23,2,FALSE)</f>
        <v>510.54027397260279</v>
      </c>
    </row>
    <row r="69" spans="5:9" ht="27" customHeight="1" x14ac:dyDescent="0.25">
      <c r="E69" s="136" t="s">
        <v>92</v>
      </c>
      <c r="F69" s="136" t="s">
        <v>288</v>
      </c>
      <c r="G69" s="137" t="s">
        <v>306</v>
      </c>
      <c r="H69" s="137" t="s">
        <v>98</v>
      </c>
      <c r="I69" s="162">
        <f>VLOOKUP(G69,'PMP_2024-2025'!$J$21:$K$23,2,FALSE)</f>
        <v>510.54027397260279</v>
      </c>
    </row>
    <row r="70" spans="5:9" ht="27" customHeight="1" x14ac:dyDescent="0.25">
      <c r="E70" s="136" t="s">
        <v>92</v>
      </c>
      <c r="F70" s="136" t="s">
        <v>289</v>
      </c>
      <c r="G70" s="137" t="s">
        <v>306</v>
      </c>
      <c r="H70" s="137" t="s">
        <v>102</v>
      </c>
      <c r="I70" s="162">
        <f>VLOOKUP(G70,'PMP_2024-2025'!$J$21:$K$23,2,FALSE)</f>
        <v>510.54027397260279</v>
      </c>
    </row>
    <row r="71" spans="5:9" ht="27" customHeight="1" x14ac:dyDescent="0.25">
      <c r="E71" s="136" t="s">
        <v>92</v>
      </c>
      <c r="F71" s="136" t="s">
        <v>290</v>
      </c>
      <c r="G71" s="137" t="s">
        <v>306</v>
      </c>
      <c r="H71" s="137" t="s">
        <v>106</v>
      </c>
      <c r="I71" s="162">
        <f>VLOOKUP(G71,'PMP_2024-2025'!$J$21:$K$23,2,FALSE)</f>
        <v>510.54027397260279</v>
      </c>
    </row>
    <row r="72" spans="5:9" ht="27" customHeight="1" x14ac:dyDescent="0.25">
      <c r="E72" s="136" t="s">
        <v>92</v>
      </c>
      <c r="F72" s="136" t="s">
        <v>291</v>
      </c>
      <c r="G72" s="137" t="s">
        <v>306</v>
      </c>
      <c r="H72" s="137" t="s">
        <v>106</v>
      </c>
      <c r="I72" s="162">
        <f>VLOOKUP(G72,'PMP_2024-2025'!$J$21:$K$23,2,FALSE)</f>
        <v>510.54027397260279</v>
      </c>
    </row>
    <row r="73" spans="5:9" ht="27" customHeight="1" x14ac:dyDescent="0.25">
      <c r="E73" s="136" t="s">
        <v>92</v>
      </c>
      <c r="F73" s="136" t="s">
        <v>292</v>
      </c>
      <c r="G73" s="137" t="s">
        <v>306</v>
      </c>
      <c r="H73" s="137" t="s">
        <v>102</v>
      </c>
      <c r="I73" s="162">
        <f>VLOOKUP(G73,'PMP_2024-2025'!$J$21:$K$23,2,FALSE)</f>
        <v>510.54027397260279</v>
      </c>
    </row>
    <row r="74" spans="5:9" ht="27" customHeight="1" x14ac:dyDescent="0.25">
      <c r="E74" s="136" t="s">
        <v>92</v>
      </c>
      <c r="F74" s="136" t="s">
        <v>293</v>
      </c>
      <c r="G74" s="137" t="s">
        <v>306</v>
      </c>
      <c r="H74" s="137" t="s">
        <v>228</v>
      </c>
      <c r="I74" s="162">
        <f>VLOOKUP(G74,'PMP_2024-2025'!$J$21:$K$23,2,FALSE)</f>
        <v>510.54027397260279</v>
      </c>
    </row>
    <row r="75" spans="5:9" ht="27" customHeight="1" x14ac:dyDescent="0.25">
      <c r="E75" s="136" t="s">
        <v>92</v>
      </c>
      <c r="F75" s="136" t="s">
        <v>294</v>
      </c>
      <c r="G75" s="137" t="s">
        <v>306</v>
      </c>
      <c r="H75" s="137" t="s">
        <v>228</v>
      </c>
      <c r="I75" s="162">
        <f>VLOOKUP(G75,'PMP_2024-2025'!$J$21:$K$23,2,FALSE)</f>
        <v>510.54027397260279</v>
      </c>
    </row>
    <row r="76" spans="5:9" ht="27" customHeight="1" x14ac:dyDescent="0.25">
      <c r="E76" s="136" t="s">
        <v>92</v>
      </c>
      <c r="F76" s="136" t="s">
        <v>295</v>
      </c>
      <c r="G76" s="137" t="s">
        <v>306</v>
      </c>
      <c r="H76" s="137" t="s">
        <v>98</v>
      </c>
      <c r="I76" s="162">
        <f>VLOOKUP(G76,'PMP_2024-2025'!$J$21:$K$23,2,FALSE)</f>
        <v>510.54027397260279</v>
      </c>
    </row>
    <row r="77" spans="5:9" ht="27" customHeight="1" x14ac:dyDescent="0.25">
      <c r="E77" s="136" t="s">
        <v>92</v>
      </c>
      <c r="F77" s="136" t="s">
        <v>296</v>
      </c>
      <c r="G77" s="137" t="s">
        <v>305</v>
      </c>
      <c r="H77" s="137" t="s">
        <v>94</v>
      </c>
      <c r="I77" s="162">
        <f>VLOOKUP(G77,'PMP_2024-2025'!$J$21:$K$23,2,FALSE)</f>
        <v>103.70142465753426</v>
      </c>
    </row>
    <row r="78" spans="5:9" ht="27" customHeight="1" x14ac:dyDescent="0.25">
      <c r="E78" s="136" t="s">
        <v>92</v>
      </c>
      <c r="F78" s="136" t="s">
        <v>297</v>
      </c>
      <c r="G78" s="137" t="s">
        <v>306</v>
      </c>
      <c r="H78" s="137" t="s">
        <v>106</v>
      </c>
      <c r="I78" s="162">
        <f>VLOOKUP(G78,'PMP_2024-2025'!$J$21:$K$23,2,FALSE)</f>
        <v>510.54027397260279</v>
      </c>
    </row>
    <row r="80" spans="5:9" x14ac:dyDescent="0.25">
      <c r="I80" s="72">
        <f>SUM(I2:I79)</f>
        <v>44838.89243835619</v>
      </c>
    </row>
  </sheetData>
  <autoFilter ref="A1:O63" xr:uid="{00000000-0009-0000-0000-000008000000}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10"/>
  <dimension ref="A1:R26"/>
  <sheetViews>
    <sheetView tabSelected="1" topLeftCell="C1" workbookViewId="0">
      <selection activeCell="J29" sqref="J29"/>
    </sheetView>
  </sheetViews>
  <sheetFormatPr defaultRowHeight="15" x14ac:dyDescent="0.25"/>
  <cols>
    <col min="1" max="2" width="10.7109375" bestFit="1" customWidth="1"/>
    <col min="3" max="3" width="11.42578125" bestFit="1" customWidth="1"/>
    <col min="4" max="4" width="21.140625" customWidth="1"/>
    <col min="5" max="5" width="14.5703125" bestFit="1" customWidth="1"/>
    <col min="6" max="6" width="13.140625" bestFit="1" customWidth="1"/>
    <col min="10" max="12" width="10.7109375" bestFit="1" customWidth="1"/>
    <col min="13" max="13" width="10.42578125" bestFit="1" customWidth="1"/>
    <col min="14" max="14" width="13.140625" bestFit="1" customWidth="1"/>
    <col min="15" max="15" width="14.140625" bestFit="1" customWidth="1"/>
    <col min="16" max="16" width="14.42578125" bestFit="1" customWidth="1"/>
    <col min="17" max="17" width="10.5703125" customWidth="1"/>
    <col min="18" max="18" width="14" bestFit="1" customWidth="1"/>
  </cols>
  <sheetData>
    <row r="1" spans="1:18" ht="22.5" customHeight="1" x14ac:dyDescent="0.25">
      <c r="A1" s="256" t="s">
        <v>615</v>
      </c>
      <c r="J1" s="314" t="s">
        <v>298</v>
      </c>
      <c r="K1" s="314"/>
      <c r="L1" s="314" t="s">
        <v>301</v>
      </c>
      <c r="M1" s="313" t="s">
        <v>302</v>
      </c>
      <c r="N1" s="313" t="s">
        <v>84</v>
      </c>
      <c r="O1" s="313" t="s">
        <v>303</v>
      </c>
      <c r="P1" s="313" t="s">
        <v>84</v>
      </c>
      <c r="Q1" s="313" t="s">
        <v>304</v>
      </c>
      <c r="R1" s="313" t="s">
        <v>84</v>
      </c>
    </row>
    <row r="2" spans="1:18" ht="34.5" customHeight="1" x14ac:dyDescent="0.25">
      <c r="D2" t="s">
        <v>628</v>
      </c>
      <c r="J2" s="156" t="s">
        <v>299</v>
      </c>
      <c r="K2" s="156" t="s">
        <v>300</v>
      </c>
      <c r="L2" s="314"/>
      <c r="M2" s="313"/>
      <c r="N2" s="313"/>
      <c r="O2" s="313"/>
      <c r="P2" s="313"/>
      <c r="Q2" s="313"/>
      <c r="R2" s="313"/>
    </row>
    <row r="3" spans="1:18" x14ac:dyDescent="0.25">
      <c r="A3" s="250">
        <v>45580</v>
      </c>
      <c r="B3" s="250">
        <v>45596</v>
      </c>
      <c r="C3" s="251">
        <f>+'Ottobre 2024'!W14</f>
        <v>0.90656735599999982</v>
      </c>
      <c r="D3" s="4">
        <v>878.71814285714356</v>
      </c>
      <c r="E3" s="4">
        <f>D3*C3</f>
        <v>796.61718343923076</v>
      </c>
      <c r="J3" s="250">
        <v>45580</v>
      </c>
      <c r="K3" s="250">
        <v>45596</v>
      </c>
      <c r="L3" s="252">
        <f>K3-J3+1</f>
        <v>17</v>
      </c>
      <c r="M3" s="253">
        <f>'Ottobre 2024'!C20</f>
        <v>103</v>
      </c>
      <c r="N3" s="253">
        <f t="shared" ref="N3:N9" si="0">$L3*M3</f>
        <v>1751</v>
      </c>
      <c r="O3" s="253">
        <f>'Ottobre 2024'!C21</f>
        <v>505.35</v>
      </c>
      <c r="P3" s="253">
        <f>$L3*O3</f>
        <v>8590.9500000000007</v>
      </c>
      <c r="Q3" s="253">
        <f>'Ottobre 2024'!C22</f>
        <v>1010.7300000000001</v>
      </c>
      <c r="R3" s="253">
        <f t="shared" ref="R3:R15" si="1">$L3*Q3</f>
        <v>17182.410000000003</v>
      </c>
    </row>
    <row r="4" spans="1:18" x14ac:dyDescent="0.25">
      <c r="A4" s="250">
        <f t="shared" ref="A4:A14" si="2">B3+1</f>
        <v>45597</v>
      </c>
      <c r="B4" s="250">
        <v>45626</v>
      </c>
      <c r="C4" s="251">
        <f>'Novembre 2024'!W14</f>
        <v>0.9706821853333335</v>
      </c>
      <c r="D4" s="4">
        <v>2196.8215238095236</v>
      </c>
      <c r="E4" s="4">
        <f t="shared" ref="E4:E15" si="3">D4*C4</f>
        <v>2132.415517518732</v>
      </c>
      <c r="J4" s="250">
        <f t="shared" ref="J4:J10" si="4">K3+1</f>
        <v>45597</v>
      </c>
      <c r="K4" s="250">
        <v>45626</v>
      </c>
      <c r="L4" s="252">
        <f t="shared" ref="L4:L10" si="5">K4-J4+1</f>
        <v>30</v>
      </c>
      <c r="M4" s="253">
        <f>'Novembre 2024'!C20</f>
        <v>113.83000000000001</v>
      </c>
      <c r="N4" s="253">
        <f t="shared" si="0"/>
        <v>3414.9000000000005</v>
      </c>
      <c r="O4" s="253">
        <f>'Novembre 2024'!C21</f>
        <v>573.76</v>
      </c>
      <c r="P4" s="253">
        <f>$L4*O4</f>
        <v>17212.8</v>
      </c>
      <c r="Q4" s="253">
        <f>'Novembre 2024'!C22</f>
        <v>1173.68</v>
      </c>
      <c r="R4" s="253">
        <f t="shared" si="1"/>
        <v>35210.400000000001</v>
      </c>
    </row>
    <row r="5" spans="1:18" x14ac:dyDescent="0.25">
      <c r="A5" s="250">
        <f t="shared" si="2"/>
        <v>45627</v>
      </c>
      <c r="B5" s="250">
        <v>45657</v>
      </c>
      <c r="C5" s="251">
        <f>'Dicembre 2024'!W14</f>
        <v>0.97895135599999994</v>
      </c>
      <c r="D5" s="4">
        <f>6126.5694273893-2100</f>
        <v>4026.5694273892996</v>
      </c>
      <c r="E5" s="4">
        <f t="shared" si="3"/>
        <v>3941.8156009708982</v>
      </c>
      <c r="J5" s="250">
        <f t="shared" si="4"/>
        <v>45627</v>
      </c>
      <c r="K5" s="250">
        <v>45657</v>
      </c>
      <c r="L5" s="252">
        <f>K5-J5+1</f>
        <v>31</v>
      </c>
      <c r="M5" s="253">
        <f>'Dicembre 2024'!C20</f>
        <v>103</v>
      </c>
      <c r="N5" s="253">
        <f t="shared" si="0"/>
        <v>3193</v>
      </c>
      <c r="O5" s="253">
        <f>'Dicembre 2024'!C21</f>
        <v>505.35</v>
      </c>
      <c r="P5" s="253">
        <f>$L5*O5</f>
        <v>15665.85</v>
      </c>
      <c r="Q5" s="253">
        <f>'Dicembre 2024'!C22</f>
        <v>1010.7300000000001</v>
      </c>
      <c r="R5" s="253">
        <f t="shared" si="1"/>
        <v>31332.630000000005</v>
      </c>
    </row>
    <row r="6" spans="1:18" x14ac:dyDescent="0.25">
      <c r="A6" s="250">
        <f t="shared" si="2"/>
        <v>45658</v>
      </c>
      <c r="B6" s="250">
        <v>45688</v>
      </c>
      <c r="C6" s="251">
        <f>'Gennaio 2025'!W14</f>
        <v>1.0094504893333334</v>
      </c>
      <c r="D6" s="4">
        <f>2276.73646136253+2100</f>
        <v>4376.7364613625305</v>
      </c>
      <c r="E6" s="4">
        <f t="shared" si="3"/>
        <v>4418.0987626054484</v>
      </c>
      <c r="J6" s="250">
        <f t="shared" si="4"/>
        <v>45658</v>
      </c>
      <c r="K6" s="250">
        <v>45688</v>
      </c>
      <c r="L6" s="252">
        <f t="shared" si="5"/>
        <v>31</v>
      </c>
      <c r="M6" s="253">
        <f>'Gennaio 2025'!C20</f>
        <v>102.76000000000002</v>
      </c>
      <c r="N6" s="253">
        <f t="shared" si="0"/>
        <v>3185.5600000000004</v>
      </c>
      <c r="O6" s="253">
        <f>'Gennaio 2025'!C21</f>
        <v>504.80000000000007</v>
      </c>
      <c r="P6" s="253">
        <f>$L6*O6</f>
        <v>15648.800000000003</v>
      </c>
      <c r="Q6" s="253">
        <f>'Gennaio 2025'!C22</f>
        <v>999.8599999999999</v>
      </c>
      <c r="R6" s="253">
        <f t="shared" si="1"/>
        <v>30995.659999999996</v>
      </c>
    </row>
    <row r="7" spans="1:18" x14ac:dyDescent="0.25">
      <c r="A7" s="250">
        <f t="shared" si="2"/>
        <v>45689</v>
      </c>
      <c r="B7" s="250">
        <v>45716</v>
      </c>
      <c r="C7" s="251">
        <f>'Febbraio 2025'!W14</f>
        <v>1.0235372186666665</v>
      </c>
      <c r="D7" s="4">
        <v>4121.3116516331329</v>
      </c>
      <c r="E7" s="4">
        <f>D7*C7</f>
        <v>4218.3158651711019</v>
      </c>
      <c r="J7" s="250">
        <f t="shared" si="4"/>
        <v>45689</v>
      </c>
      <c r="K7" s="250">
        <v>45716</v>
      </c>
      <c r="L7" s="252">
        <f t="shared" si="5"/>
        <v>28</v>
      </c>
      <c r="M7" s="253">
        <f>'Febbraio 2025'!C20</f>
        <v>102.76000000000002</v>
      </c>
      <c r="N7" s="253">
        <f t="shared" si="0"/>
        <v>2877.2800000000007</v>
      </c>
      <c r="O7" s="253">
        <f>'Febbraio 2025'!C21</f>
        <v>504.80000000000007</v>
      </c>
      <c r="P7" s="253">
        <f>$L7*O7</f>
        <v>14134.400000000001</v>
      </c>
      <c r="Q7" s="253">
        <f>'Febbraio 2025'!C22</f>
        <v>999.8599999999999</v>
      </c>
      <c r="R7" s="253">
        <f t="shared" si="1"/>
        <v>27996.079999999998</v>
      </c>
    </row>
    <row r="8" spans="1:18" x14ac:dyDescent="0.25">
      <c r="A8" s="250">
        <f t="shared" si="2"/>
        <v>45717</v>
      </c>
      <c r="B8" s="250">
        <v>45747</v>
      </c>
      <c r="C8" s="252">
        <f>'Marzo 2025'!W14</f>
        <v>0.91242821866666657</v>
      </c>
      <c r="D8" s="4">
        <v>2185.6451871611021</v>
      </c>
      <c r="E8" s="4">
        <f t="shared" si="3"/>
        <v>1994.2443447587775</v>
      </c>
      <c r="J8" s="250">
        <f t="shared" si="4"/>
        <v>45717</v>
      </c>
      <c r="K8" s="250">
        <v>45747</v>
      </c>
      <c r="L8" s="252">
        <f t="shared" si="5"/>
        <v>31</v>
      </c>
      <c r="M8" s="253">
        <f>'Marzo 2025'!C20</f>
        <v>102.76000000000002</v>
      </c>
      <c r="N8" s="253">
        <f t="shared" si="0"/>
        <v>3185.5600000000004</v>
      </c>
      <c r="O8" s="253">
        <f>'Marzo 2025'!C21</f>
        <v>504.80000000000007</v>
      </c>
      <c r="P8" s="253">
        <f t="shared" ref="P8:P15" si="6">$L8*O8</f>
        <v>15648.800000000003</v>
      </c>
      <c r="Q8" s="253">
        <f>'Marzo 2025'!C22</f>
        <v>999.8599999999999</v>
      </c>
      <c r="R8" s="253">
        <f t="shared" si="1"/>
        <v>30995.659999999996</v>
      </c>
    </row>
    <row r="9" spans="1:18" x14ac:dyDescent="0.25">
      <c r="A9" s="250">
        <f t="shared" si="2"/>
        <v>45748</v>
      </c>
      <c r="B9" s="250">
        <v>45777</v>
      </c>
      <c r="C9" s="252">
        <f>'Aprile 2025'!W14</f>
        <v>0.82982548533333345</v>
      </c>
      <c r="D9" s="4">
        <v>870.84428715339209</v>
      </c>
      <c r="E9" s="4">
        <f t="shared" si="3"/>
        <v>722.64878323682433</v>
      </c>
      <c r="F9" s="139"/>
      <c r="J9" s="250">
        <f t="shared" si="4"/>
        <v>45748</v>
      </c>
      <c r="K9" s="250">
        <v>45777</v>
      </c>
      <c r="L9" s="252">
        <f t="shared" si="5"/>
        <v>30</v>
      </c>
      <c r="M9" s="253">
        <f>'Aprile 2025'!C20</f>
        <v>102.76000000000002</v>
      </c>
      <c r="N9" s="253">
        <f t="shared" si="0"/>
        <v>3082.8000000000006</v>
      </c>
      <c r="O9" s="253">
        <f>'Aprile 2025'!C21</f>
        <v>504.80000000000007</v>
      </c>
      <c r="P9" s="253">
        <f t="shared" si="6"/>
        <v>15144.000000000002</v>
      </c>
      <c r="Q9" s="253">
        <f>'Aprile 2025'!C22</f>
        <v>999.8599999999999</v>
      </c>
      <c r="R9" s="253">
        <f t="shared" si="1"/>
        <v>29995.799999999996</v>
      </c>
    </row>
    <row r="10" spans="1:18" x14ac:dyDescent="0.25">
      <c r="A10" s="250">
        <f t="shared" si="2"/>
        <v>45778</v>
      </c>
      <c r="B10" s="250">
        <v>45808</v>
      </c>
      <c r="C10" s="252">
        <f>'Maggio 2025'!W14</f>
        <v>0.83047048533333334</v>
      </c>
      <c r="D10" s="258">
        <f>442.85+85.41</f>
        <v>528.26</v>
      </c>
      <c r="E10" s="4">
        <f t="shared" si="3"/>
        <v>438.70433858218667</v>
      </c>
      <c r="J10" s="250">
        <f t="shared" si="4"/>
        <v>45778</v>
      </c>
      <c r="K10" s="250">
        <v>45808</v>
      </c>
      <c r="L10" s="252">
        <f t="shared" si="5"/>
        <v>31</v>
      </c>
      <c r="M10" s="253">
        <f>'Maggio 2025'!C20</f>
        <v>102.76000000000002</v>
      </c>
      <c r="N10" s="253">
        <f>$L10*M10</f>
        <v>3185.5600000000004</v>
      </c>
      <c r="O10" s="253">
        <f>'Maggio 2025'!C21</f>
        <v>504.80000000000007</v>
      </c>
      <c r="P10" s="253">
        <f t="shared" si="6"/>
        <v>15648.800000000003</v>
      </c>
      <c r="Q10" s="253">
        <f>'Maggio 2025'!C22</f>
        <v>999.8599999999999</v>
      </c>
      <c r="R10" s="253">
        <f t="shared" si="1"/>
        <v>30995.659999999996</v>
      </c>
    </row>
    <row r="11" spans="1:18" x14ac:dyDescent="0.25">
      <c r="A11" s="250">
        <f t="shared" si="2"/>
        <v>45809</v>
      </c>
      <c r="B11" s="250">
        <v>45838</v>
      </c>
      <c r="C11" s="252">
        <f>+'Giugno 2025'!W14</f>
        <v>0.84629948533333321</v>
      </c>
      <c r="D11" s="258">
        <v>442.15555636933834</v>
      </c>
      <c r="E11" s="4">
        <f t="shared" si="3"/>
        <v>374.19601979264462</v>
      </c>
      <c r="J11" s="250">
        <v>45809</v>
      </c>
      <c r="K11" s="250">
        <v>45838</v>
      </c>
      <c r="L11" s="252">
        <v>30</v>
      </c>
      <c r="M11" s="253">
        <f>'Giugno 2025'!C20</f>
        <v>102.76000000000002</v>
      </c>
      <c r="N11" s="253">
        <f>$L11*M11</f>
        <v>3082.8000000000006</v>
      </c>
      <c r="O11" s="253">
        <f>'Giugno 2025'!C21</f>
        <v>504.80000000000007</v>
      </c>
      <c r="P11" s="253">
        <f t="shared" si="6"/>
        <v>15144.000000000002</v>
      </c>
      <c r="Q11" s="253">
        <f>+'Giugno 2025'!C22</f>
        <v>999.8599999999999</v>
      </c>
      <c r="R11" s="253">
        <f t="shared" si="1"/>
        <v>29995.799999999996</v>
      </c>
    </row>
    <row r="12" spans="1:18" x14ac:dyDescent="0.25">
      <c r="A12" s="250">
        <f t="shared" si="2"/>
        <v>45839</v>
      </c>
      <c r="B12" s="250">
        <v>45869</v>
      </c>
      <c r="C12" s="252">
        <f>+'Luglio 2025'!W14</f>
        <v>0.83666048533333326</v>
      </c>
      <c r="D12" s="258">
        <f>255.028406162465+6.67+32.58</f>
        <v>294.27840616246499</v>
      </c>
      <c r="E12" s="4">
        <f t="shared" si="3"/>
        <v>246.21111412300772</v>
      </c>
      <c r="J12" s="250">
        <v>45839</v>
      </c>
      <c r="K12" s="250">
        <v>45869</v>
      </c>
      <c r="L12" s="252">
        <v>31</v>
      </c>
      <c r="M12" s="253">
        <f>'Luglio 2025'!C20</f>
        <v>102.76000000000002</v>
      </c>
      <c r="N12" s="253">
        <f t="shared" ref="N12:N15" si="7">$L12*M12</f>
        <v>3185.5600000000004</v>
      </c>
      <c r="O12" s="253">
        <f>'Luglio 2025'!C21</f>
        <v>504.80000000000007</v>
      </c>
      <c r="P12" s="253">
        <f t="shared" si="6"/>
        <v>15648.800000000003</v>
      </c>
      <c r="Q12" s="253">
        <f>+'Luglio 2025'!C22</f>
        <v>999.8599999999999</v>
      </c>
      <c r="R12" s="253">
        <f t="shared" si="1"/>
        <v>30995.659999999996</v>
      </c>
    </row>
    <row r="13" spans="1:18" x14ac:dyDescent="0.25">
      <c r="A13" s="250">
        <f t="shared" si="2"/>
        <v>45870</v>
      </c>
      <c r="B13" s="250">
        <v>45535</v>
      </c>
      <c r="C13" s="252">
        <f>'Agosto 2025'!W14</f>
        <v>0.82506848533333332</v>
      </c>
      <c r="D13" s="258">
        <v>320.19</v>
      </c>
      <c r="E13" s="4">
        <f t="shared" si="3"/>
        <v>264.17867831887997</v>
      </c>
      <c r="G13" s="219"/>
      <c r="J13" s="250">
        <v>45870</v>
      </c>
      <c r="K13" s="250">
        <v>45900</v>
      </c>
      <c r="L13" s="252">
        <v>31</v>
      </c>
      <c r="M13" s="253">
        <f>'Agosto 2025'!C20</f>
        <v>102.76000000000002</v>
      </c>
      <c r="N13" s="253">
        <f t="shared" si="7"/>
        <v>3185.5600000000004</v>
      </c>
      <c r="O13" s="253">
        <f>'Agosto 2025'!C21</f>
        <v>504.80000000000007</v>
      </c>
      <c r="P13" s="253">
        <f t="shared" si="6"/>
        <v>15648.800000000003</v>
      </c>
      <c r="Q13" s="253">
        <f>+'Agosto 2025'!C22</f>
        <v>999.8599999999999</v>
      </c>
      <c r="R13" s="253">
        <f t="shared" si="1"/>
        <v>30995.659999999996</v>
      </c>
    </row>
    <row r="14" spans="1:18" x14ac:dyDescent="0.25">
      <c r="A14" s="250">
        <f t="shared" si="2"/>
        <v>45536</v>
      </c>
      <c r="B14" s="250">
        <v>45565</v>
      </c>
      <c r="C14" s="252">
        <f>'Settembre 2025'!W14</f>
        <v>0.81754048533333334</v>
      </c>
      <c r="D14" s="258">
        <v>402.7</v>
      </c>
      <c r="E14" s="4">
        <f t="shared" si="3"/>
        <v>329.22355344373335</v>
      </c>
      <c r="G14" s="219"/>
      <c r="J14" s="250">
        <v>45901</v>
      </c>
      <c r="K14" s="250">
        <v>45930</v>
      </c>
      <c r="L14" s="252">
        <v>30</v>
      </c>
      <c r="M14" s="253">
        <f>'Settembre 2025'!C20</f>
        <v>102.76000000000002</v>
      </c>
      <c r="N14" s="253">
        <f t="shared" si="7"/>
        <v>3082.8000000000006</v>
      </c>
      <c r="O14" s="253">
        <f>'Settembre 2025'!C21</f>
        <v>504.80000000000007</v>
      </c>
      <c r="P14" s="253">
        <f t="shared" si="6"/>
        <v>15144.000000000002</v>
      </c>
      <c r="Q14" s="253">
        <f>+'Settembre 2025'!C22</f>
        <v>999.8599999999999</v>
      </c>
      <c r="R14" s="253">
        <f t="shared" si="1"/>
        <v>29995.799999999996</v>
      </c>
    </row>
    <row r="15" spans="1:18" x14ac:dyDescent="0.25">
      <c r="A15" s="250">
        <v>45566</v>
      </c>
      <c r="B15" s="250">
        <v>45579</v>
      </c>
      <c r="C15" s="252">
        <v>0.80694048533333351</v>
      </c>
      <c r="D15" s="258">
        <v>484.38</v>
      </c>
      <c r="E15" s="4">
        <f t="shared" si="3"/>
        <v>390.86583228576006</v>
      </c>
      <c r="G15" s="219"/>
      <c r="J15" s="250">
        <v>45931</v>
      </c>
      <c r="K15" s="250">
        <v>45944</v>
      </c>
      <c r="L15" s="252">
        <f t="shared" ref="L15" si="8">K15-J15+1</f>
        <v>14</v>
      </c>
      <c r="M15" s="253">
        <f>'Ottobre 2025'!C20</f>
        <v>102.76000000000002</v>
      </c>
      <c r="N15" s="253">
        <f t="shared" si="7"/>
        <v>1438.6400000000003</v>
      </c>
      <c r="O15" s="253">
        <f>'Ottobre 2025'!C21</f>
        <v>504.80000000000007</v>
      </c>
      <c r="P15" s="253">
        <f t="shared" si="6"/>
        <v>7067.2000000000007</v>
      </c>
      <c r="Q15" s="253">
        <f>'Ottobre 2025'!C22</f>
        <v>999.8599999999999</v>
      </c>
      <c r="R15" s="253">
        <f t="shared" si="1"/>
        <v>13998.039999999999</v>
      </c>
    </row>
    <row r="16" spans="1:18" x14ac:dyDescent="0.25">
      <c r="A16" s="154"/>
      <c r="B16" s="154"/>
      <c r="C16" s="2"/>
      <c r="D16" s="4"/>
      <c r="E16" s="4"/>
      <c r="L16" s="157">
        <f>SUM(L3:L15)</f>
        <v>365</v>
      </c>
      <c r="N16" s="159">
        <f>SUM(N3:N15)</f>
        <v>37851.020000000004</v>
      </c>
      <c r="P16" s="159">
        <f>SUM(P3:P15)</f>
        <v>186347.2</v>
      </c>
      <c r="R16" s="159">
        <f>SUM(R3:R15)</f>
        <v>370685.25999999989</v>
      </c>
    </row>
    <row r="18" spans="1:18" x14ac:dyDescent="0.25">
      <c r="C18" s="254"/>
      <c r="D18" s="4">
        <f>SUM(D3:D17)</f>
        <v>21128.61064389793</v>
      </c>
      <c r="E18" s="4">
        <f>SUM(E3:E15)</f>
        <v>20267.535594247227</v>
      </c>
      <c r="N18" s="7">
        <f>N16/L16</f>
        <v>103.70142465753426</v>
      </c>
      <c r="P18" s="7">
        <f>P16/L16</f>
        <v>510.54027397260279</v>
      </c>
      <c r="R18" s="7">
        <f>R16/L16</f>
        <v>1015.5760547945202</v>
      </c>
    </row>
    <row r="19" spans="1:18" x14ac:dyDescent="0.25">
      <c r="C19" s="254"/>
      <c r="D19" s="2"/>
      <c r="E19" s="2"/>
    </row>
    <row r="20" spans="1:18" x14ac:dyDescent="0.25">
      <c r="C20" s="257" t="s">
        <v>629</v>
      </c>
      <c r="D20" s="5">
        <f>D18*3.6</f>
        <v>76062.998318032551</v>
      </c>
      <c r="E20" s="262">
        <f>E18/D18</f>
        <v>0.95924601649567587</v>
      </c>
      <c r="F20" t="s">
        <v>630</v>
      </c>
      <c r="K20" s="156" t="s">
        <v>616</v>
      </c>
    </row>
    <row r="21" spans="1:18" x14ac:dyDescent="0.25">
      <c r="A21" s="255"/>
      <c r="B21" s="255"/>
      <c r="J21" s="2" t="s">
        <v>305</v>
      </c>
      <c r="K21" s="72">
        <f>N18</f>
        <v>103.70142465753426</v>
      </c>
    </row>
    <row r="22" spans="1:18" x14ac:dyDescent="0.25">
      <c r="A22" s="255"/>
      <c r="B22" s="255"/>
      <c r="J22" s="2" t="s">
        <v>306</v>
      </c>
      <c r="K22" s="72">
        <f>P18</f>
        <v>510.54027397260279</v>
      </c>
    </row>
    <row r="23" spans="1:18" x14ac:dyDescent="0.25">
      <c r="A23" s="255"/>
      <c r="B23" s="255"/>
      <c r="J23" s="2" t="s">
        <v>307</v>
      </c>
      <c r="K23" s="72">
        <f>R18</f>
        <v>1015.5760547945202</v>
      </c>
    </row>
    <row r="24" spans="1:18" x14ac:dyDescent="0.25">
      <c r="A24" s="255"/>
      <c r="B24" s="255"/>
      <c r="E24" s="139"/>
      <c r="F24" s="139"/>
    </row>
    <row r="25" spans="1:18" x14ac:dyDescent="0.25">
      <c r="E25" s="139"/>
    </row>
    <row r="26" spans="1:18" x14ac:dyDescent="0.25">
      <c r="E26" s="139"/>
    </row>
  </sheetData>
  <mergeCells count="8">
    <mergeCell ref="R1:R2"/>
    <mergeCell ref="J1:K1"/>
    <mergeCell ref="L1:L2"/>
    <mergeCell ref="M1:M2"/>
    <mergeCell ref="O1:O2"/>
    <mergeCell ref="Q1:Q2"/>
    <mergeCell ref="N1:N2"/>
    <mergeCell ref="P1:P2"/>
  </mergeCells>
  <pageMargins left="0.7" right="0.7" top="0.75" bottom="0.75" header="0.3" footer="0.3"/>
  <pageSetup paperSize="9" orientation="portrait" r:id="rId1"/>
  <ignoredErrors>
    <ignoredError sqref="O4:O6 Q4:Q6" 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BF2C0-1F90-443B-920E-22CE4F91E9B2}">
  <sheetPr codeName="Foglio11"/>
  <dimension ref="A1:X69"/>
  <sheetViews>
    <sheetView topLeftCell="C52" workbookViewId="0">
      <selection activeCell="I75" sqref="I75"/>
    </sheetView>
  </sheetViews>
  <sheetFormatPr defaultRowHeight="15" x14ac:dyDescent="0.25"/>
  <cols>
    <col min="1" max="1" width="14.42578125" customWidth="1"/>
    <col min="2" max="2" width="13.85546875" customWidth="1"/>
    <col min="4" max="4" width="11" customWidth="1"/>
    <col min="6" max="6" width="30.7109375" customWidth="1"/>
    <col min="8" max="9" width="11.140625" bestFit="1" customWidth="1"/>
    <col min="10" max="10" width="11" customWidth="1"/>
    <col min="11" max="11" width="10.28515625" bestFit="1" customWidth="1"/>
    <col min="12" max="16" width="10.7109375" customWidth="1"/>
    <col min="17" max="19" width="11.140625" bestFit="1" customWidth="1"/>
    <col min="20" max="20" width="14.7109375" bestFit="1" customWidth="1"/>
    <col min="21" max="21" width="12" bestFit="1" customWidth="1"/>
    <col min="22" max="22" width="11" bestFit="1" customWidth="1"/>
    <col min="23" max="23" width="12" bestFit="1" customWidth="1"/>
  </cols>
  <sheetData>
    <row r="1" spans="1:24" x14ac:dyDescent="0.25">
      <c r="A1" s="163"/>
      <c r="B1" s="163">
        <v>2019</v>
      </c>
      <c r="C1" s="163"/>
      <c r="D1" s="164"/>
      <c r="E1" s="163"/>
      <c r="F1" s="163"/>
      <c r="G1" s="164"/>
      <c r="H1" s="165">
        <v>20</v>
      </c>
      <c r="I1" s="165">
        <v>20</v>
      </c>
      <c r="J1" s="165">
        <v>20</v>
      </c>
      <c r="K1" s="165">
        <v>20</v>
      </c>
      <c r="L1" s="165">
        <v>20</v>
      </c>
      <c r="M1" s="165">
        <v>20</v>
      </c>
      <c r="N1" s="165">
        <v>20</v>
      </c>
      <c r="O1" s="165">
        <v>20</v>
      </c>
      <c r="P1" s="165">
        <v>20</v>
      </c>
      <c r="Q1" s="165">
        <v>19</v>
      </c>
      <c r="R1" s="165">
        <v>19</v>
      </c>
      <c r="S1" s="165">
        <v>19</v>
      </c>
    </row>
    <row r="2" spans="1:24" ht="25.5" x14ac:dyDescent="0.25">
      <c r="A2" s="128" t="s">
        <v>311</v>
      </c>
      <c r="B2" s="128" t="s">
        <v>85</v>
      </c>
      <c r="C2" s="128"/>
      <c r="D2" s="132" t="s">
        <v>312</v>
      </c>
      <c r="E2" s="131" t="s">
        <v>86</v>
      </c>
      <c r="F2" s="132" t="s">
        <v>87</v>
      </c>
      <c r="G2" s="132" t="s">
        <v>313</v>
      </c>
      <c r="H2" s="167" t="s">
        <v>314</v>
      </c>
      <c r="I2" s="167" t="s">
        <v>315</v>
      </c>
      <c r="J2" s="167" t="s">
        <v>316</v>
      </c>
      <c r="K2" s="167" t="s">
        <v>317</v>
      </c>
      <c r="L2" s="167" t="s">
        <v>318</v>
      </c>
      <c r="M2" s="167" t="s">
        <v>319</v>
      </c>
      <c r="N2" s="167" t="s">
        <v>320</v>
      </c>
      <c r="O2" s="167" t="s">
        <v>321</v>
      </c>
      <c r="P2" s="167" t="s">
        <v>322</v>
      </c>
      <c r="Q2" s="166" t="s">
        <v>323</v>
      </c>
      <c r="R2" s="166" t="s">
        <v>324</v>
      </c>
      <c r="S2" s="166" t="s">
        <v>325</v>
      </c>
    </row>
    <row r="3" spans="1:24" ht="27" customHeight="1" x14ac:dyDescent="0.25">
      <c r="A3" s="133" t="s">
        <v>133</v>
      </c>
      <c r="B3" s="133" t="s">
        <v>133</v>
      </c>
      <c r="C3" s="133" t="s">
        <v>351</v>
      </c>
      <c r="D3" s="133" t="s">
        <v>327</v>
      </c>
      <c r="E3" s="136" t="s">
        <v>92</v>
      </c>
      <c r="F3" s="136" t="s">
        <v>135</v>
      </c>
      <c r="G3" s="133" t="s">
        <v>352</v>
      </c>
      <c r="H3" s="169">
        <v>2816</v>
      </c>
      <c r="I3" s="169">
        <v>2028</v>
      </c>
      <c r="J3" s="169">
        <v>1133</v>
      </c>
      <c r="K3" s="169">
        <v>57</v>
      </c>
      <c r="L3" s="169">
        <v>0</v>
      </c>
      <c r="M3" s="169">
        <v>0</v>
      </c>
      <c r="N3" s="169">
        <v>0</v>
      </c>
      <c r="O3" s="169">
        <v>0</v>
      </c>
      <c r="P3" s="169"/>
      <c r="Q3" s="168">
        <v>697</v>
      </c>
      <c r="R3" s="168">
        <v>1584</v>
      </c>
      <c r="S3" s="168">
        <v>2074</v>
      </c>
      <c r="T3" s="5">
        <f>H3+I3+J3+K3+L3+M3+N3+O3+P3+R3+S3</f>
        <v>9692</v>
      </c>
      <c r="U3" s="139">
        <f>T3/103</f>
        <v>94.097087378640779</v>
      </c>
      <c r="V3">
        <f>VLOOKUP(B3,[2]Nelsa!$A:$AF,32,FALSE)</f>
        <v>224.18</v>
      </c>
      <c r="W3" s="139">
        <f t="shared" ref="W3:W19" si="0">V3+U3</f>
        <v>318.27708737864077</v>
      </c>
      <c r="X3">
        <v>329.19</v>
      </c>
    </row>
    <row r="4" spans="1:24" ht="27" customHeight="1" x14ac:dyDescent="0.25">
      <c r="A4" s="133" t="s">
        <v>213</v>
      </c>
      <c r="B4" s="133" t="s">
        <v>213</v>
      </c>
      <c r="C4" s="133" t="s">
        <v>403</v>
      </c>
      <c r="D4" s="133" t="s">
        <v>327</v>
      </c>
      <c r="E4" s="136" t="s">
        <v>92</v>
      </c>
      <c r="F4" s="136" t="s">
        <v>215</v>
      </c>
      <c r="G4" s="133" t="s">
        <v>404</v>
      </c>
      <c r="H4" s="169">
        <v>8331</v>
      </c>
      <c r="I4" s="169">
        <v>6233</v>
      </c>
      <c r="J4" s="169">
        <v>3426</v>
      </c>
      <c r="K4" s="169">
        <v>209</v>
      </c>
      <c r="L4" s="169">
        <v>0</v>
      </c>
      <c r="M4" s="169">
        <v>122</v>
      </c>
      <c r="N4" s="169">
        <v>614</v>
      </c>
      <c r="O4" s="169">
        <v>616</v>
      </c>
      <c r="P4" s="169"/>
      <c r="Q4" s="168">
        <v>1664</v>
      </c>
      <c r="R4" s="168">
        <v>4835</v>
      </c>
      <c r="S4" s="168">
        <v>4688</v>
      </c>
      <c r="T4" s="5">
        <f t="shared" ref="T4:T62" si="1">H4+I4+J4+K4+L4+M4+N4+O4+P4+R4+S4</f>
        <v>29074</v>
      </c>
      <c r="U4" s="139">
        <f t="shared" ref="U4:U62" si="2">T4/103</f>
        <v>282.27184466019418</v>
      </c>
      <c r="V4">
        <f>VLOOKUP(B4,[2]Nelsa!$A:$AF,32,FALSE)</f>
        <v>711.04</v>
      </c>
      <c r="W4" s="139">
        <f t="shared" si="0"/>
        <v>993.31184466019408</v>
      </c>
      <c r="X4">
        <v>1064.1500000000001</v>
      </c>
    </row>
    <row r="5" spans="1:24" ht="27" customHeight="1" x14ac:dyDescent="0.25">
      <c r="A5" s="133" t="s">
        <v>177</v>
      </c>
      <c r="B5" s="133" t="s">
        <v>177</v>
      </c>
      <c r="C5" s="133" t="s">
        <v>379</v>
      </c>
      <c r="D5" s="133" t="s">
        <v>327</v>
      </c>
      <c r="E5" s="136" t="s">
        <v>92</v>
      </c>
      <c r="F5" s="136" t="s">
        <v>179</v>
      </c>
      <c r="G5" s="133" t="s">
        <v>380</v>
      </c>
      <c r="H5" s="169">
        <v>3739</v>
      </c>
      <c r="I5" s="169">
        <v>2744</v>
      </c>
      <c r="J5" s="169">
        <v>1353</v>
      </c>
      <c r="K5" s="169">
        <v>0</v>
      </c>
      <c r="L5" s="169">
        <v>0</v>
      </c>
      <c r="M5" s="169">
        <v>0</v>
      </c>
      <c r="N5" s="169">
        <v>0</v>
      </c>
      <c r="O5" s="169">
        <v>0</v>
      </c>
      <c r="P5" s="169"/>
      <c r="Q5" s="168">
        <v>1264</v>
      </c>
      <c r="R5" s="168">
        <v>2739</v>
      </c>
      <c r="S5" s="168">
        <v>2355</v>
      </c>
      <c r="T5" s="5">
        <f t="shared" si="1"/>
        <v>12930</v>
      </c>
      <c r="U5" s="139">
        <f t="shared" si="2"/>
        <v>125.53398058252426</v>
      </c>
      <c r="V5">
        <f>VLOOKUP(B5,[2]Nelsa!$A:$AF,32,FALSE)</f>
        <v>340.98</v>
      </c>
      <c r="W5" s="139">
        <f t="shared" si="0"/>
        <v>466.51398058252425</v>
      </c>
      <c r="X5">
        <v>492.89</v>
      </c>
    </row>
    <row r="6" spans="1:24" ht="27" customHeight="1" x14ac:dyDescent="0.25">
      <c r="A6" s="133" t="s">
        <v>125</v>
      </c>
      <c r="B6" s="133" t="s">
        <v>125</v>
      </c>
      <c r="C6" s="133" t="s">
        <v>347</v>
      </c>
      <c r="D6" s="133" t="s">
        <v>327</v>
      </c>
      <c r="E6" s="136" t="s">
        <v>92</v>
      </c>
      <c r="F6" s="136" t="s">
        <v>127</v>
      </c>
      <c r="G6" s="133" t="s">
        <v>348</v>
      </c>
      <c r="H6" s="169">
        <v>23573</v>
      </c>
      <c r="I6" s="169">
        <v>18239</v>
      </c>
      <c r="J6" s="169">
        <v>5613</v>
      </c>
      <c r="K6" s="169">
        <v>2788</v>
      </c>
      <c r="L6" s="169">
        <v>2292</v>
      </c>
      <c r="M6" s="169">
        <v>6222</v>
      </c>
      <c r="N6" s="169">
        <v>5244</v>
      </c>
      <c r="O6" s="169">
        <v>4842</v>
      </c>
      <c r="P6" s="169"/>
      <c r="Q6" s="168">
        <v>11012</v>
      </c>
      <c r="R6" s="168">
        <v>18195</v>
      </c>
      <c r="S6" s="168">
        <v>19721</v>
      </c>
      <c r="T6" s="5">
        <f t="shared" si="1"/>
        <v>106729</v>
      </c>
      <c r="U6" s="139">
        <f t="shared" si="2"/>
        <v>1036.2038834951456</v>
      </c>
      <c r="V6">
        <f>VLOOKUP(B6,[2]Nelsa!$A:$AF,32,FALSE)</f>
        <v>21702.9</v>
      </c>
      <c r="W6" s="139">
        <f t="shared" si="0"/>
        <v>22739.103883495147</v>
      </c>
      <c r="X6">
        <v>22992.400000000001</v>
      </c>
    </row>
    <row r="7" spans="1:24" ht="27" customHeight="1" x14ac:dyDescent="0.25">
      <c r="A7" s="133" t="s">
        <v>222</v>
      </c>
      <c r="B7" s="133" t="s">
        <v>222</v>
      </c>
      <c r="C7" s="133" t="s">
        <v>409</v>
      </c>
      <c r="D7" s="133" t="s">
        <v>327</v>
      </c>
      <c r="E7" s="136" t="s">
        <v>92</v>
      </c>
      <c r="F7" s="136" t="s">
        <v>224</v>
      </c>
      <c r="G7" s="133" t="s">
        <v>410</v>
      </c>
      <c r="H7" s="169">
        <v>3247</v>
      </c>
      <c r="I7" s="169">
        <v>2429</v>
      </c>
      <c r="J7" s="169">
        <v>2488</v>
      </c>
      <c r="K7" s="169">
        <v>1457</v>
      </c>
      <c r="L7" s="169">
        <v>573</v>
      </c>
      <c r="M7" s="169">
        <v>545</v>
      </c>
      <c r="N7" s="169">
        <v>441</v>
      </c>
      <c r="O7" s="169">
        <v>452</v>
      </c>
      <c r="P7" s="169"/>
      <c r="Q7" s="168">
        <v>1017</v>
      </c>
      <c r="R7" s="168">
        <v>2334</v>
      </c>
      <c r="S7" s="168">
        <v>2904</v>
      </c>
      <c r="T7" s="5">
        <f t="shared" si="1"/>
        <v>16870</v>
      </c>
      <c r="U7" s="139">
        <f t="shared" si="2"/>
        <v>163.78640776699029</v>
      </c>
      <c r="V7">
        <f>VLOOKUP(B7,[2]Nelsa!$A:$AF,32,FALSE)</f>
        <v>391.04</v>
      </c>
      <c r="W7" s="139">
        <f t="shared" si="0"/>
        <v>554.82640776699031</v>
      </c>
      <c r="X7">
        <v>573.29</v>
      </c>
    </row>
    <row r="8" spans="1:24" ht="27" customHeight="1" x14ac:dyDescent="0.25">
      <c r="A8" s="133" t="s">
        <v>155</v>
      </c>
      <c r="B8" s="133" t="s">
        <v>155</v>
      </c>
      <c r="C8" s="133" t="s">
        <v>365</v>
      </c>
      <c r="D8" s="133" t="s">
        <v>327</v>
      </c>
      <c r="E8" s="136" t="s">
        <v>92</v>
      </c>
      <c r="F8" s="136" t="s">
        <v>157</v>
      </c>
      <c r="G8" s="133" t="s">
        <v>366</v>
      </c>
      <c r="H8" s="169">
        <v>48</v>
      </c>
      <c r="I8" s="169">
        <v>44</v>
      </c>
      <c r="J8" s="169">
        <v>43</v>
      </c>
      <c r="K8" s="169">
        <v>39</v>
      </c>
      <c r="L8" s="169">
        <v>37</v>
      </c>
      <c r="M8" s="169">
        <v>33</v>
      </c>
      <c r="N8" s="169">
        <v>31</v>
      </c>
      <c r="O8" s="169">
        <v>-40</v>
      </c>
      <c r="P8" s="169"/>
      <c r="Q8" s="168">
        <v>38</v>
      </c>
      <c r="R8" s="168">
        <v>42</v>
      </c>
      <c r="S8" s="168">
        <v>46</v>
      </c>
      <c r="T8" s="5">
        <f t="shared" si="1"/>
        <v>323</v>
      </c>
      <c r="V8">
        <f>VLOOKUP(B8,[2]Nelsa!$A:$AF,32,FALSE)</f>
        <v>156.41999999999999</v>
      </c>
      <c r="W8" s="139">
        <f t="shared" si="0"/>
        <v>156.41999999999999</v>
      </c>
      <c r="X8">
        <v>231.05</v>
      </c>
    </row>
    <row r="9" spans="1:24" ht="27" customHeight="1" x14ac:dyDescent="0.25">
      <c r="A9" s="133" t="s">
        <v>189</v>
      </c>
      <c r="B9" s="133" t="s">
        <v>189</v>
      </c>
      <c r="C9" s="133" t="s">
        <v>387</v>
      </c>
      <c r="D9" s="133" t="s">
        <v>327</v>
      </c>
      <c r="E9" s="136" t="s">
        <v>92</v>
      </c>
      <c r="F9" s="136" t="s">
        <v>191</v>
      </c>
      <c r="G9" s="133" t="s">
        <v>388</v>
      </c>
      <c r="H9" s="169">
        <v>1756</v>
      </c>
      <c r="I9" s="169">
        <v>1239</v>
      </c>
      <c r="J9" s="169">
        <v>1198</v>
      </c>
      <c r="K9" s="169">
        <v>489</v>
      </c>
      <c r="L9" s="169">
        <v>163</v>
      </c>
      <c r="M9" s="169">
        <v>175</v>
      </c>
      <c r="N9" s="169">
        <v>157</v>
      </c>
      <c r="O9" s="169">
        <v>151</v>
      </c>
      <c r="P9" s="169"/>
      <c r="Q9" s="168">
        <v>495</v>
      </c>
      <c r="R9" s="168">
        <v>1211</v>
      </c>
      <c r="S9" s="168">
        <v>1565</v>
      </c>
      <c r="T9" s="5">
        <f t="shared" si="1"/>
        <v>8104</v>
      </c>
      <c r="U9" s="139">
        <f t="shared" si="2"/>
        <v>78.679611650485441</v>
      </c>
      <c r="V9">
        <f>VLOOKUP(B9,[2]Nelsa!$A:$AF,32,FALSE)</f>
        <v>124.4</v>
      </c>
      <c r="W9" s="139">
        <f t="shared" si="0"/>
        <v>203.07961165048545</v>
      </c>
      <c r="X9">
        <v>210.57</v>
      </c>
    </row>
    <row r="10" spans="1:24" ht="27" customHeight="1" x14ac:dyDescent="0.25">
      <c r="A10" s="133" t="s">
        <v>183</v>
      </c>
      <c r="B10" s="133" t="s">
        <v>183</v>
      </c>
      <c r="C10" s="133" t="s">
        <v>383</v>
      </c>
      <c r="D10" s="133" t="s">
        <v>327</v>
      </c>
      <c r="E10" s="136" t="s">
        <v>92</v>
      </c>
      <c r="F10" s="136" t="s">
        <v>185</v>
      </c>
      <c r="G10" s="133" t="s">
        <v>384</v>
      </c>
      <c r="H10" s="169">
        <v>2778</v>
      </c>
      <c r="I10" s="169">
        <v>1682</v>
      </c>
      <c r="J10" s="169">
        <v>1788</v>
      </c>
      <c r="K10" s="169">
        <v>572</v>
      </c>
      <c r="L10" s="169">
        <v>350</v>
      </c>
      <c r="M10" s="169">
        <v>316</v>
      </c>
      <c r="N10" s="169">
        <v>292</v>
      </c>
      <c r="O10" s="169">
        <v>284</v>
      </c>
      <c r="P10" s="169"/>
      <c r="Q10" s="168">
        <v>571</v>
      </c>
      <c r="R10" s="168">
        <v>1911</v>
      </c>
      <c r="S10" s="168">
        <v>2682</v>
      </c>
      <c r="T10" s="5">
        <f t="shared" si="1"/>
        <v>12655</v>
      </c>
      <c r="U10" s="139">
        <f t="shared" si="2"/>
        <v>122.86407766990291</v>
      </c>
      <c r="V10">
        <f>VLOOKUP(B10,[2]Nelsa!$A:$AF,32,FALSE)</f>
        <v>249.22</v>
      </c>
      <c r="W10" s="139">
        <f t="shared" si="0"/>
        <v>372.08407766990291</v>
      </c>
    </row>
    <row r="11" spans="1:24" ht="27" customHeight="1" x14ac:dyDescent="0.25">
      <c r="A11" s="133" t="s">
        <v>241</v>
      </c>
      <c r="B11" s="133" t="s">
        <v>241</v>
      </c>
      <c r="C11" s="133" t="s">
        <v>421</v>
      </c>
      <c r="D11" s="133" t="s">
        <v>327</v>
      </c>
      <c r="E11" s="136" t="s">
        <v>92</v>
      </c>
      <c r="F11" s="136" t="s">
        <v>243</v>
      </c>
      <c r="G11" s="133" t="s">
        <v>422</v>
      </c>
      <c r="H11" s="169">
        <v>34955</v>
      </c>
      <c r="I11" s="169">
        <v>27963</v>
      </c>
      <c r="J11" s="169">
        <v>24526</v>
      </c>
      <c r="K11" s="169">
        <v>10625</v>
      </c>
      <c r="L11" s="169">
        <v>293</v>
      </c>
      <c r="M11" s="169">
        <v>90</v>
      </c>
      <c r="N11" s="169">
        <v>3511</v>
      </c>
      <c r="O11" s="169">
        <v>6347</v>
      </c>
      <c r="P11" s="169"/>
      <c r="Q11" s="168">
        <v>9919</v>
      </c>
      <c r="R11" s="168">
        <v>23547</v>
      </c>
      <c r="S11" s="168">
        <v>32468</v>
      </c>
      <c r="T11" s="5">
        <f t="shared" si="1"/>
        <v>164325</v>
      </c>
      <c r="U11" s="139">
        <f t="shared" si="2"/>
        <v>1595.3883495145631</v>
      </c>
      <c r="V11">
        <f>VLOOKUP(B11,[2]Nelsa!$A:$AF,32,FALSE)</f>
        <v>3529.2299999999996</v>
      </c>
      <c r="W11" s="139">
        <f t="shared" si="0"/>
        <v>5124.6183495145624</v>
      </c>
    </row>
    <row r="12" spans="1:24" ht="27" customHeight="1" x14ac:dyDescent="0.25">
      <c r="A12" s="133" t="s">
        <v>250</v>
      </c>
      <c r="B12" s="133" t="s">
        <v>250</v>
      </c>
      <c r="C12" s="133" t="s">
        <v>427</v>
      </c>
      <c r="D12" s="133" t="s">
        <v>327</v>
      </c>
      <c r="E12" s="136" t="s">
        <v>92</v>
      </c>
      <c r="F12" s="136" t="s">
        <v>252</v>
      </c>
      <c r="G12" s="133" t="s">
        <v>428</v>
      </c>
      <c r="H12" s="169">
        <v>8902</v>
      </c>
      <c r="I12" s="169">
        <v>6098</v>
      </c>
      <c r="J12" s="169">
        <v>5387</v>
      </c>
      <c r="K12" s="169">
        <v>1239</v>
      </c>
      <c r="L12" s="169">
        <v>1</v>
      </c>
      <c r="M12" s="169">
        <v>0</v>
      </c>
      <c r="N12" s="169">
        <v>1</v>
      </c>
      <c r="O12" s="169">
        <v>0</v>
      </c>
      <c r="P12" s="169"/>
      <c r="Q12" s="168">
        <v>719</v>
      </c>
      <c r="R12" s="168">
        <v>5749</v>
      </c>
      <c r="S12" s="168">
        <v>7845</v>
      </c>
      <c r="T12" s="5">
        <f t="shared" si="1"/>
        <v>35222</v>
      </c>
      <c r="U12" s="139">
        <f t="shared" si="2"/>
        <v>341.96116504854371</v>
      </c>
      <c r="V12">
        <f>VLOOKUP(B12,[2]Nelsa!$A:$AF,32,FALSE)</f>
        <v>677.62</v>
      </c>
      <c r="W12" s="139">
        <f t="shared" si="0"/>
        <v>1019.5811650485437</v>
      </c>
    </row>
    <row r="13" spans="1:24" ht="27" customHeight="1" x14ac:dyDescent="0.25">
      <c r="A13" s="133" t="s">
        <v>232</v>
      </c>
      <c r="B13" s="133" t="s">
        <v>232</v>
      </c>
      <c r="C13" s="133" t="s">
        <v>415</v>
      </c>
      <c r="D13" s="133" t="s">
        <v>327</v>
      </c>
      <c r="E13" s="136" t="s">
        <v>92</v>
      </c>
      <c r="F13" s="136" t="s">
        <v>234</v>
      </c>
      <c r="G13" s="133" t="s">
        <v>416</v>
      </c>
      <c r="H13" s="169">
        <v>12800</v>
      </c>
      <c r="I13" s="169">
        <v>9896</v>
      </c>
      <c r="J13" s="169">
        <v>8464</v>
      </c>
      <c r="K13" s="169">
        <v>2489</v>
      </c>
      <c r="L13" s="169">
        <v>0</v>
      </c>
      <c r="M13" s="169">
        <v>0</v>
      </c>
      <c r="N13" s="169">
        <v>0</v>
      </c>
      <c r="O13" s="169">
        <v>0</v>
      </c>
      <c r="P13" s="169"/>
      <c r="Q13" s="168">
        <v>2452</v>
      </c>
      <c r="R13" s="168">
        <v>6768</v>
      </c>
      <c r="S13" s="168">
        <v>11953</v>
      </c>
      <c r="T13" s="5">
        <f t="shared" si="1"/>
        <v>52370</v>
      </c>
      <c r="U13" s="139">
        <f t="shared" si="2"/>
        <v>508.44660194174759</v>
      </c>
      <c r="V13">
        <f>VLOOKUP(B13,[2]Nelsa!$A:$AF,32,FALSE)</f>
        <v>4310.51</v>
      </c>
      <c r="W13" s="139">
        <f t="shared" si="0"/>
        <v>4818.956601941748</v>
      </c>
    </row>
    <row r="14" spans="1:24" ht="27" customHeight="1" x14ac:dyDescent="0.25">
      <c r="A14" s="133" t="s">
        <v>210</v>
      </c>
      <c r="B14" s="133" t="s">
        <v>210</v>
      </c>
      <c r="C14" s="133" t="s">
        <v>401</v>
      </c>
      <c r="D14" s="133" t="s">
        <v>327</v>
      </c>
      <c r="E14" s="136" t="s">
        <v>92</v>
      </c>
      <c r="F14" s="136" t="s">
        <v>212</v>
      </c>
      <c r="G14" s="133" t="s">
        <v>402</v>
      </c>
      <c r="H14" s="169">
        <v>1849</v>
      </c>
      <c r="I14" s="169">
        <v>997</v>
      </c>
      <c r="J14" s="169">
        <v>845</v>
      </c>
      <c r="K14" s="169">
        <v>231</v>
      </c>
      <c r="L14" s="169">
        <v>1</v>
      </c>
      <c r="M14" s="169">
        <v>0</v>
      </c>
      <c r="N14" s="169">
        <v>0</v>
      </c>
      <c r="O14" s="169">
        <v>0</v>
      </c>
      <c r="P14" s="169"/>
      <c r="Q14" s="168">
        <v>555</v>
      </c>
      <c r="R14" s="168">
        <v>1358</v>
      </c>
      <c r="S14" s="168">
        <v>1722</v>
      </c>
      <c r="T14" s="5">
        <f t="shared" si="1"/>
        <v>7003</v>
      </c>
      <c r="U14" s="139">
        <f t="shared" si="2"/>
        <v>67.990291262135926</v>
      </c>
      <c r="V14">
        <f>VLOOKUP(B14,[2]Nelsa!$A:$AF,32,FALSE)</f>
        <v>219.04</v>
      </c>
      <c r="W14" s="139">
        <f t="shared" si="0"/>
        <v>287.0302912621359</v>
      </c>
    </row>
    <row r="15" spans="1:24" ht="27" customHeight="1" x14ac:dyDescent="0.25">
      <c r="A15" s="133" t="s">
        <v>110</v>
      </c>
      <c r="B15" s="133" t="s">
        <v>110</v>
      </c>
      <c r="C15" s="133" t="s">
        <v>337</v>
      </c>
      <c r="D15" s="133" t="s">
        <v>327</v>
      </c>
      <c r="E15" s="136" t="s">
        <v>92</v>
      </c>
      <c r="F15" s="136" t="s">
        <v>112</v>
      </c>
      <c r="G15" s="133" t="s">
        <v>338</v>
      </c>
      <c r="H15" s="169"/>
      <c r="I15" s="169"/>
      <c r="J15" s="169"/>
      <c r="K15" s="169"/>
      <c r="L15" s="169"/>
      <c r="M15" s="169"/>
      <c r="N15" s="169"/>
      <c r="O15" s="169"/>
      <c r="P15" s="169"/>
      <c r="Q15" s="168">
        <v>0</v>
      </c>
      <c r="R15" s="168">
        <v>0</v>
      </c>
      <c r="S15" s="168">
        <v>0</v>
      </c>
      <c r="T15" s="5">
        <f t="shared" si="1"/>
        <v>0</v>
      </c>
      <c r="U15" s="139">
        <f t="shared" si="2"/>
        <v>0</v>
      </c>
      <c r="V15">
        <f>VLOOKUP(B15,[2]Nelsa!$A:$AF,32,FALSE)</f>
        <v>117.01</v>
      </c>
      <c r="W15" s="139">
        <f t="shared" si="0"/>
        <v>117.01</v>
      </c>
      <c r="X15">
        <v>329.15</v>
      </c>
    </row>
    <row r="16" spans="1:24" ht="27" customHeight="1" x14ac:dyDescent="0.25">
      <c r="A16" s="133" t="s">
        <v>113</v>
      </c>
      <c r="B16" s="133" t="s">
        <v>113</v>
      </c>
      <c r="C16" s="133" t="s">
        <v>339</v>
      </c>
      <c r="D16" s="133" t="s">
        <v>327</v>
      </c>
      <c r="E16" s="136" t="s">
        <v>92</v>
      </c>
      <c r="F16" s="136" t="s">
        <v>115</v>
      </c>
      <c r="G16" s="133" t="s">
        <v>340</v>
      </c>
      <c r="H16" s="169">
        <v>6278</v>
      </c>
      <c r="I16" s="169">
        <v>5485</v>
      </c>
      <c r="J16" s="169">
        <v>4484</v>
      </c>
      <c r="K16" s="169">
        <v>1205</v>
      </c>
      <c r="L16" s="169">
        <v>0</v>
      </c>
      <c r="M16" s="169">
        <v>0</v>
      </c>
      <c r="N16" s="169">
        <v>0</v>
      </c>
      <c r="O16" s="169">
        <v>0</v>
      </c>
      <c r="P16" s="169"/>
      <c r="Q16" s="168">
        <v>1297</v>
      </c>
      <c r="R16" s="168">
        <v>3797</v>
      </c>
      <c r="S16" s="168">
        <v>4907</v>
      </c>
      <c r="T16" s="5">
        <f t="shared" si="1"/>
        <v>26156</v>
      </c>
      <c r="U16" s="139">
        <f t="shared" si="2"/>
        <v>253.94174757281553</v>
      </c>
      <c r="V16">
        <f>VLOOKUP(B16,[2]Nelsa!$A:$AF,32,FALSE)</f>
        <v>725.95</v>
      </c>
      <c r="W16" s="139">
        <f t="shared" si="0"/>
        <v>979.89174757281558</v>
      </c>
    </row>
    <row r="17" spans="1:23" ht="27" customHeight="1" x14ac:dyDescent="0.25">
      <c r="A17" s="133" t="s">
        <v>142</v>
      </c>
      <c r="B17" s="133" t="s">
        <v>142</v>
      </c>
      <c r="C17" s="133" t="s">
        <v>357</v>
      </c>
      <c r="D17" s="133" t="s">
        <v>327</v>
      </c>
      <c r="E17" s="136" t="s">
        <v>92</v>
      </c>
      <c r="F17" s="136" t="s">
        <v>144</v>
      </c>
      <c r="G17" s="133" t="s">
        <v>358</v>
      </c>
      <c r="H17" s="169">
        <v>15460</v>
      </c>
      <c r="I17" s="169">
        <v>10407</v>
      </c>
      <c r="J17" s="169">
        <v>4817</v>
      </c>
      <c r="K17" s="169">
        <v>392</v>
      </c>
      <c r="L17" s="169">
        <v>2</v>
      </c>
      <c r="M17" s="169">
        <v>4</v>
      </c>
      <c r="N17" s="169">
        <v>6</v>
      </c>
      <c r="O17" s="169">
        <v>0</v>
      </c>
      <c r="P17" s="169"/>
      <c r="Q17" s="168">
        <v>3485</v>
      </c>
      <c r="R17" s="168">
        <v>10635</v>
      </c>
      <c r="S17" s="168">
        <v>14520</v>
      </c>
      <c r="T17" s="5">
        <f t="shared" si="1"/>
        <v>56243</v>
      </c>
      <c r="U17" s="139">
        <f t="shared" si="2"/>
        <v>546.04854368932035</v>
      </c>
      <c r="V17">
        <f>VLOOKUP(B17,[2]Nelsa!$A:$AF,32,FALSE)</f>
        <v>1153.3900000000001</v>
      </c>
      <c r="W17" s="139">
        <f t="shared" si="0"/>
        <v>1699.4385436893203</v>
      </c>
    </row>
    <row r="18" spans="1:23" ht="27" customHeight="1" x14ac:dyDescent="0.25">
      <c r="A18" s="133" t="s">
        <v>195</v>
      </c>
      <c r="B18" s="133" t="s">
        <v>195</v>
      </c>
      <c r="C18" s="133" t="s">
        <v>391</v>
      </c>
      <c r="D18" s="133" t="s">
        <v>327</v>
      </c>
      <c r="E18" s="136" t="s">
        <v>92</v>
      </c>
      <c r="F18" s="136" t="s">
        <v>197</v>
      </c>
      <c r="G18" s="133" t="s">
        <v>392</v>
      </c>
      <c r="H18" s="169">
        <v>10048</v>
      </c>
      <c r="I18" s="169">
        <v>8645</v>
      </c>
      <c r="J18" s="169">
        <v>5613</v>
      </c>
      <c r="K18" s="169">
        <v>2375</v>
      </c>
      <c r="L18" s="169">
        <v>0</v>
      </c>
      <c r="M18" s="169">
        <v>0</v>
      </c>
      <c r="N18" s="169">
        <v>0</v>
      </c>
      <c r="O18" s="169">
        <v>0</v>
      </c>
      <c r="P18" s="169"/>
      <c r="Q18" s="168">
        <v>4177</v>
      </c>
      <c r="R18" s="168">
        <v>8301</v>
      </c>
      <c r="S18" s="168">
        <v>10368</v>
      </c>
      <c r="T18" s="5">
        <f t="shared" si="1"/>
        <v>45350</v>
      </c>
      <c r="U18" s="139">
        <f t="shared" si="2"/>
        <v>440.29126213592235</v>
      </c>
      <c r="V18">
        <f>VLOOKUP(B18,[2]Nelsa!$A:$AF,32,FALSE)</f>
        <v>1297.33</v>
      </c>
      <c r="W18" s="139">
        <f t="shared" si="0"/>
        <v>1737.6212621359223</v>
      </c>
    </row>
    <row r="19" spans="1:23" ht="27" customHeight="1" x14ac:dyDescent="0.25">
      <c r="A19" s="133" t="s">
        <v>244</v>
      </c>
      <c r="B19" s="133" t="s">
        <v>244</v>
      </c>
      <c r="C19" s="133" t="s">
        <v>423</v>
      </c>
      <c r="D19" s="133" t="s">
        <v>327</v>
      </c>
      <c r="E19" s="136" t="s">
        <v>92</v>
      </c>
      <c r="F19" s="136" t="s">
        <v>246</v>
      </c>
      <c r="G19" s="133" t="s">
        <v>424</v>
      </c>
      <c r="H19" s="169">
        <v>3996</v>
      </c>
      <c r="I19" s="169">
        <v>2491</v>
      </c>
      <c r="J19" s="169">
        <v>1383</v>
      </c>
      <c r="K19" s="169">
        <v>79</v>
      </c>
      <c r="L19" s="169">
        <v>0</v>
      </c>
      <c r="M19" s="169">
        <v>0</v>
      </c>
      <c r="N19" s="169">
        <v>0</v>
      </c>
      <c r="O19" s="169">
        <v>0</v>
      </c>
      <c r="P19" s="169"/>
      <c r="Q19" s="168">
        <v>1081</v>
      </c>
      <c r="R19" s="168">
        <v>2200</v>
      </c>
      <c r="S19" s="168">
        <v>2975</v>
      </c>
      <c r="T19" s="5">
        <f t="shared" si="1"/>
        <v>13124</v>
      </c>
      <c r="U19" s="139">
        <f t="shared" si="2"/>
        <v>127.41747572815534</v>
      </c>
      <c r="V19">
        <f>VLOOKUP(B19,[2]Nelsa!$A:$AF,32,FALSE)</f>
        <v>368.58</v>
      </c>
      <c r="W19" s="139">
        <f t="shared" si="0"/>
        <v>495.99747572815534</v>
      </c>
    </row>
    <row r="20" spans="1:23" ht="27" customHeight="1" x14ac:dyDescent="0.25">
      <c r="A20" s="133" t="s">
        <v>116</v>
      </c>
      <c r="B20" s="133" t="s">
        <v>116</v>
      </c>
      <c r="C20" s="133" t="s">
        <v>341</v>
      </c>
      <c r="D20" s="133" t="s">
        <v>327</v>
      </c>
      <c r="E20" s="136" t="s">
        <v>92</v>
      </c>
      <c r="F20" s="136" t="s">
        <v>118</v>
      </c>
      <c r="G20" s="133" t="s">
        <v>342</v>
      </c>
      <c r="H20" s="169">
        <v>3771</v>
      </c>
      <c r="I20" s="169">
        <v>2658</v>
      </c>
      <c r="J20" s="169">
        <v>1256</v>
      </c>
      <c r="K20" s="169">
        <v>173</v>
      </c>
      <c r="L20" s="169">
        <v>0</v>
      </c>
      <c r="M20" s="169">
        <v>0</v>
      </c>
      <c r="N20" s="169">
        <v>0</v>
      </c>
      <c r="O20" s="169">
        <v>137</v>
      </c>
      <c r="P20" s="169"/>
      <c r="Q20" s="168">
        <v>1622</v>
      </c>
      <c r="R20" s="168">
        <v>2531</v>
      </c>
      <c r="S20" s="168">
        <v>3310</v>
      </c>
      <c r="T20" s="5">
        <f t="shared" si="1"/>
        <v>13836</v>
      </c>
      <c r="U20" s="139">
        <f t="shared" si="2"/>
        <v>134.33009708737865</v>
      </c>
      <c r="V20">
        <f>VLOOKUP(B20,[2]Nelsa!$A:$AF,32,FALSE)</f>
        <v>361.6</v>
      </c>
      <c r="W20" s="139">
        <f t="shared" ref="W20:W26" si="3">V20+U20</f>
        <v>495.93009708737867</v>
      </c>
    </row>
    <row r="21" spans="1:23" ht="27" customHeight="1" x14ac:dyDescent="0.25">
      <c r="A21" s="133" t="s">
        <v>149</v>
      </c>
      <c r="B21" s="133" t="s">
        <v>149</v>
      </c>
      <c r="C21" s="133" t="s">
        <v>361</v>
      </c>
      <c r="D21" s="133" t="s">
        <v>327</v>
      </c>
      <c r="E21" s="136" t="s">
        <v>92</v>
      </c>
      <c r="F21" s="136" t="s">
        <v>151</v>
      </c>
      <c r="G21" s="133" t="s">
        <v>362</v>
      </c>
      <c r="H21" s="169">
        <v>2090</v>
      </c>
      <c r="I21" s="169">
        <v>1458</v>
      </c>
      <c r="J21" s="169">
        <v>654</v>
      </c>
      <c r="K21" s="169">
        <v>27</v>
      </c>
      <c r="L21" s="169">
        <v>0</v>
      </c>
      <c r="M21" s="169">
        <v>0</v>
      </c>
      <c r="N21" s="169">
        <v>0</v>
      </c>
      <c r="O21" s="169">
        <v>8</v>
      </c>
      <c r="P21" s="169"/>
      <c r="Q21" s="168">
        <v>377</v>
      </c>
      <c r="R21" s="168">
        <v>1197</v>
      </c>
      <c r="S21" s="168">
        <v>1543</v>
      </c>
      <c r="T21" s="5">
        <f t="shared" si="1"/>
        <v>6977</v>
      </c>
      <c r="U21" s="139">
        <f t="shared" si="2"/>
        <v>67.737864077669897</v>
      </c>
      <c r="V21">
        <f>VLOOKUP(B21,[2]Nelsa!$A:$AF,32,FALSE)</f>
        <v>157.07</v>
      </c>
      <c r="W21" s="139">
        <f t="shared" si="3"/>
        <v>224.80786407766988</v>
      </c>
    </row>
    <row r="22" spans="1:23" ht="27" customHeight="1" x14ac:dyDescent="0.25">
      <c r="A22" s="133" t="s">
        <v>136</v>
      </c>
      <c r="B22" s="133" t="s">
        <v>136</v>
      </c>
      <c r="C22" s="133" t="s">
        <v>353</v>
      </c>
      <c r="D22" s="133" t="s">
        <v>327</v>
      </c>
      <c r="E22" s="136" t="s">
        <v>92</v>
      </c>
      <c r="F22" s="136" t="s">
        <v>138</v>
      </c>
      <c r="G22" s="133" t="s">
        <v>354</v>
      </c>
      <c r="H22" s="169">
        <v>2225</v>
      </c>
      <c r="I22" s="169">
        <v>1395</v>
      </c>
      <c r="J22" s="169">
        <v>1071</v>
      </c>
      <c r="K22" s="169">
        <v>207</v>
      </c>
      <c r="L22" s="169">
        <v>0</v>
      </c>
      <c r="M22" s="169">
        <v>0</v>
      </c>
      <c r="N22" s="169">
        <v>0</v>
      </c>
      <c r="O22" s="169">
        <v>0</v>
      </c>
      <c r="P22" s="169"/>
      <c r="Q22" s="168">
        <v>442</v>
      </c>
      <c r="R22" s="168">
        <v>1411</v>
      </c>
      <c r="S22" s="168">
        <v>1931</v>
      </c>
      <c r="T22" s="5">
        <f t="shared" si="1"/>
        <v>8240</v>
      </c>
      <c r="U22" s="139">
        <f t="shared" si="2"/>
        <v>80</v>
      </c>
      <c r="V22">
        <f>VLOOKUP(B22,[2]Nelsa!$A:$AF,32,FALSE)</f>
        <v>184.13</v>
      </c>
      <c r="W22" s="139">
        <f t="shared" si="3"/>
        <v>264.13</v>
      </c>
    </row>
    <row r="23" spans="1:23" ht="27" customHeight="1" x14ac:dyDescent="0.25">
      <c r="A23" s="133" t="s">
        <v>204</v>
      </c>
      <c r="B23" s="133" t="s">
        <v>204</v>
      </c>
      <c r="C23" s="133" t="s">
        <v>397</v>
      </c>
      <c r="D23" s="133" t="s">
        <v>327</v>
      </c>
      <c r="E23" s="136" t="s">
        <v>92</v>
      </c>
      <c r="F23" s="136" t="s">
        <v>206</v>
      </c>
      <c r="G23" s="133" t="s">
        <v>398</v>
      </c>
      <c r="H23" s="169">
        <v>3732</v>
      </c>
      <c r="I23" s="169">
        <v>2786</v>
      </c>
      <c r="J23" s="169">
        <v>1547</v>
      </c>
      <c r="K23" s="169">
        <v>176</v>
      </c>
      <c r="L23" s="169">
        <v>0</v>
      </c>
      <c r="M23" s="169">
        <v>0</v>
      </c>
      <c r="N23" s="169">
        <v>0</v>
      </c>
      <c r="O23" s="169">
        <v>247</v>
      </c>
      <c r="P23" s="169"/>
      <c r="Q23" s="168">
        <v>1100</v>
      </c>
      <c r="R23" s="168">
        <v>2635</v>
      </c>
      <c r="S23" s="168">
        <v>3205</v>
      </c>
      <c r="T23" s="5">
        <f t="shared" si="1"/>
        <v>14328</v>
      </c>
      <c r="U23" s="139">
        <f t="shared" si="2"/>
        <v>139.10679611650485</v>
      </c>
      <c r="V23">
        <f>VLOOKUP(B23,[2]Nelsa!$A:$AF,32,FALSE)</f>
        <v>329.34</v>
      </c>
      <c r="W23" s="139">
        <f t="shared" si="3"/>
        <v>468.44679611650486</v>
      </c>
    </row>
    <row r="24" spans="1:23" ht="27" customHeight="1" x14ac:dyDescent="0.25">
      <c r="A24" s="133" t="s">
        <v>253</v>
      </c>
      <c r="B24" s="133" t="s">
        <v>253</v>
      </c>
      <c r="C24" s="133" t="s">
        <v>429</v>
      </c>
      <c r="D24" s="133" t="s">
        <v>327</v>
      </c>
      <c r="E24" s="136" t="s">
        <v>92</v>
      </c>
      <c r="F24" s="136" t="s">
        <v>255</v>
      </c>
      <c r="G24" s="133" t="s">
        <v>430</v>
      </c>
      <c r="H24" s="169">
        <v>5008</v>
      </c>
      <c r="I24" s="169">
        <v>3502</v>
      </c>
      <c r="J24" s="169">
        <v>2813</v>
      </c>
      <c r="K24" s="169">
        <v>279</v>
      </c>
      <c r="L24" s="169">
        <v>0</v>
      </c>
      <c r="M24" s="169">
        <v>0</v>
      </c>
      <c r="N24" s="169">
        <v>0</v>
      </c>
      <c r="O24" s="169">
        <v>28</v>
      </c>
      <c r="P24" s="169"/>
      <c r="Q24" s="168">
        <v>1015</v>
      </c>
      <c r="R24" s="168">
        <v>2533</v>
      </c>
      <c r="S24" s="168">
        <v>2466</v>
      </c>
      <c r="T24" s="5">
        <f t="shared" si="1"/>
        <v>16629</v>
      </c>
      <c r="U24" s="139">
        <f t="shared" si="2"/>
        <v>161.44660194174756</v>
      </c>
      <c r="V24">
        <f>VLOOKUP(B24,[2]Nelsa!$A:$AF,32,FALSE)</f>
        <v>393.62</v>
      </c>
      <c r="W24" s="139">
        <f t="shared" si="3"/>
        <v>555.06660194174754</v>
      </c>
    </row>
    <row r="25" spans="1:23" ht="27" customHeight="1" x14ac:dyDescent="0.25">
      <c r="A25" s="133" t="s">
        <v>180</v>
      </c>
      <c r="B25" s="133" t="s">
        <v>180</v>
      </c>
      <c r="C25" s="133" t="s">
        <v>381</v>
      </c>
      <c r="D25" s="133" t="s">
        <v>327</v>
      </c>
      <c r="E25" s="136" t="s">
        <v>92</v>
      </c>
      <c r="F25" s="136" t="s">
        <v>182</v>
      </c>
      <c r="G25" s="133" t="s">
        <v>382</v>
      </c>
      <c r="H25" s="169">
        <v>3114</v>
      </c>
      <c r="I25" s="169">
        <v>2387</v>
      </c>
      <c r="J25" s="169">
        <v>1871</v>
      </c>
      <c r="K25" s="169">
        <v>273</v>
      </c>
      <c r="L25" s="169">
        <v>0</v>
      </c>
      <c r="M25" s="169">
        <v>0</v>
      </c>
      <c r="N25" s="169">
        <v>0</v>
      </c>
      <c r="O25" s="169">
        <v>0</v>
      </c>
      <c r="P25" s="169"/>
      <c r="Q25" s="168">
        <v>1499</v>
      </c>
      <c r="R25" s="168">
        <v>2182</v>
      </c>
      <c r="S25" s="168">
        <v>2655</v>
      </c>
      <c r="T25" s="5">
        <f t="shared" si="1"/>
        <v>12482</v>
      </c>
      <c r="U25" s="139">
        <f t="shared" si="2"/>
        <v>121.18446601941747</v>
      </c>
      <c r="V25">
        <f>VLOOKUP(B25,[2]Nelsa!$A:$AF,32,FALSE)</f>
        <v>319.16000000000003</v>
      </c>
      <c r="W25" s="139">
        <f t="shared" si="3"/>
        <v>440.3444660194175</v>
      </c>
    </row>
    <row r="26" spans="1:23" ht="27" customHeight="1" x14ac:dyDescent="0.25">
      <c r="A26" s="133" t="s">
        <v>269</v>
      </c>
      <c r="B26" s="133" t="s">
        <v>269</v>
      </c>
      <c r="C26" s="133" t="s">
        <v>439</v>
      </c>
      <c r="D26" s="133" t="s">
        <v>327</v>
      </c>
      <c r="E26" s="136" t="s">
        <v>92</v>
      </c>
      <c r="F26" s="136" t="s">
        <v>271</v>
      </c>
      <c r="G26" s="133" t="s">
        <v>440</v>
      </c>
      <c r="H26" s="169">
        <v>2213</v>
      </c>
      <c r="I26" s="169">
        <v>1470</v>
      </c>
      <c r="J26" s="169">
        <v>932</v>
      </c>
      <c r="K26" s="169">
        <v>51</v>
      </c>
      <c r="L26" s="169">
        <v>0</v>
      </c>
      <c r="M26" s="169">
        <v>0</v>
      </c>
      <c r="N26" s="169">
        <v>0</v>
      </c>
      <c r="O26" s="169">
        <v>0</v>
      </c>
      <c r="P26" s="169"/>
      <c r="Q26" s="168">
        <v>307</v>
      </c>
      <c r="R26" s="168">
        <v>1123</v>
      </c>
      <c r="S26" s="168">
        <v>1551</v>
      </c>
      <c r="T26" s="5">
        <f t="shared" si="1"/>
        <v>7340</v>
      </c>
      <c r="U26" s="139">
        <f t="shared" si="2"/>
        <v>71.262135922330103</v>
      </c>
      <c r="V26">
        <f>VLOOKUP(B26,[2]Nelsa!$A:$AF,32,FALSE)</f>
        <v>174.64</v>
      </c>
      <c r="W26" s="139">
        <f t="shared" si="3"/>
        <v>245.9021359223301</v>
      </c>
    </row>
    <row r="27" spans="1:23" ht="27" customHeight="1" x14ac:dyDescent="0.25">
      <c r="A27" s="133" t="s">
        <v>168</v>
      </c>
      <c r="B27" s="133" t="s">
        <v>168</v>
      </c>
      <c r="C27" s="133" t="s">
        <v>373</v>
      </c>
      <c r="D27" s="133" t="s">
        <v>327</v>
      </c>
      <c r="E27" s="136" t="s">
        <v>92</v>
      </c>
      <c r="F27" s="136" t="s">
        <v>170</v>
      </c>
      <c r="G27" s="133" t="s">
        <v>374</v>
      </c>
      <c r="H27" s="169">
        <v>5121</v>
      </c>
      <c r="I27" s="169">
        <v>3354</v>
      </c>
      <c r="J27" s="169">
        <v>1047</v>
      </c>
      <c r="K27" s="169">
        <v>98</v>
      </c>
      <c r="L27" s="169">
        <v>0</v>
      </c>
      <c r="M27" s="169">
        <v>9</v>
      </c>
      <c r="N27" s="169">
        <v>0</v>
      </c>
      <c r="O27" s="169">
        <v>0</v>
      </c>
      <c r="P27" s="169"/>
      <c r="Q27" s="168">
        <v>847</v>
      </c>
      <c r="R27" s="168">
        <v>2798</v>
      </c>
      <c r="S27" s="168">
        <v>3933</v>
      </c>
      <c r="T27" s="5">
        <f t="shared" si="1"/>
        <v>16360</v>
      </c>
      <c r="U27" s="139">
        <f t="shared" si="2"/>
        <v>158.83495145631068</v>
      </c>
      <c r="V27">
        <f>VLOOKUP(B27,[2]Nelsa!$A:$AF,32,FALSE)</f>
        <v>475.5</v>
      </c>
      <c r="W27" s="139">
        <f t="shared" ref="W27" si="4">V27+U27</f>
        <v>634.3349514563107</v>
      </c>
    </row>
    <row r="28" spans="1:23" ht="27" customHeight="1" x14ac:dyDescent="0.25">
      <c r="A28" s="133" t="s">
        <v>165</v>
      </c>
      <c r="B28" s="133" t="s">
        <v>165</v>
      </c>
      <c r="C28" s="133" t="s">
        <v>371</v>
      </c>
      <c r="D28" s="133" t="s">
        <v>327</v>
      </c>
      <c r="E28" s="136" t="s">
        <v>92</v>
      </c>
      <c r="F28" s="170" t="s">
        <v>167</v>
      </c>
      <c r="G28" s="133" t="s">
        <v>372</v>
      </c>
      <c r="H28" s="169"/>
      <c r="I28" s="169"/>
      <c r="J28" s="169"/>
      <c r="K28" s="169"/>
      <c r="L28" s="169"/>
      <c r="M28" s="169"/>
      <c r="N28" s="169"/>
      <c r="O28" s="169"/>
      <c r="P28" s="169"/>
      <c r="Q28" s="168">
        <v>0</v>
      </c>
      <c r="R28" s="168">
        <v>0</v>
      </c>
      <c r="S28" s="168">
        <v>0</v>
      </c>
      <c r="T28" s="5">
        <f t="shared" si="1"/>
        <v>0</v>
      </c>
      <c r="U28" s="139">
        <f t="shared" si="2"/>
        <v>0</v>
      </c>
    </row>
    <row r="29" spans="1:23" ht="27" customHeight="1" x14ac:dyDescent="0.25">
      <c r="A29" s="133" t="s">
        <v>95</v>
      </c>
      <c r="B29" s="133" t="s">
        <v>95</v>
      </c>
      <c r="C29" s="133" t="s">
        <v>329</v>
      </c>
      <c r="D29" s="133" t="s">
        <v>327</v>
      </c>
      <c r="E29" s="136" t="s">
        <v>92</v>
      </c>
      <c r="F29" s="136" t="s">
        <v>97</v>
      </c>
      <c r="G29" s="133" t="s">
        <v>330</v>
      </c>
      <c r="H29" s="169">
        <v>3767</v>
      </c>
      <c r="I29" s="169">
        <v>3011</v>
      </c>
      <c r="J29" s="169">
        <v>1108</v>
      </c>
      <c r="K29" s="169">
        <v>80</v>
      </c>
      <c r="L29" s="169">
        <v>0</v>
      </c>
      <c r="M29" s="169">
        <v>0</v>
      </c>
      <c r="N29" s="169">
        <v>0</v>
      </c>
      <c r="O29" s="169">
        <v>0</v>
      </c>
      <c r="P29" s="169"/>
      <c r="Q29" s="168">
        <v>990</v>
      </c>
      <c r="R29" s="168">
        <v>1405</v>
      </c>
      <c r="S29" s="168">
        <v>179</v>
      </c>
      <c r="T29" s="5">
        <f t="shared" si="1"/>
        <v>9550</v>
      </c>
      <c r="U29" s="139">
        <f t="shared" si="2"/>
        <v>92.71844660194175</v>
      </c>
      <c r="V29">
        <f>VLOOKUP(B29,[2]Nelsa!$A:$AF,32,FALSE)</f>
        <v>339.81</v>
      </c>
      <c r="W29" s="139">
        <f t="shared" ref="W29" si="5">V29+U29</f>
        <v>432.52844660194177</v>
      </c>
    </row>
    <row r="30" spans="1:23" ht="27" customHeight="1" x14ac:dyDescent="0.25">
      <c r="A30" s="133" t="s">
        <v>247</v>
      </c>
      <c r="B30" s="133" t="s">
        <v>247</v>
      </c>
      <c r="C30" s="133" t="s">
        <v>425</v>
      </c>
      <c r="D30" s="133" t="s">
        <v>327</v>
      </c>
      <c r="E30" s="136" t="s">
        <v>92</v>
      </c>
      <c r="F30" s="136" t="s">
        <v>249</v>
      </c>
      <c r="G30" s="133" t="s">
        <v>426</v>
      </c>
      <c r="H30" s="169">
        <v>7838</v>
      </c>
      <c r="I30" s="169">
        <v>5483</v>
      </c>
      <c r="J30" s="169">
        <v>2883</v>
      </c>
      <c r="K30" s="169">
        <v>203</v>
      </c>
      <c r="L30" s="169">
        <v>0</v>
      </c>
      <c r="M30" s="169">
        <v>0</v>
      </c>
      <c r="N30" s="169">
        <v>0</v>
      </c>
      <c r="O30" s="169">
        <v>0</v>
      </c>
      <c r="P30" s="169"/>
      <c r="Q30" s="168">
        <v>2047</v>
      </c>
      <c r="R30" s="168">
        <v>4342</v>
      </c>
      <c r="S30" s="168">
        <v>5696</v>
      </c>
      <c r="T30" s="5">
        <f t="shared" si="1"/>
        <v>26445</v>
      </c>
      <c r="U30" s="139">
        <f t="shared" si="2"/>
        <v>256.747572815534</v>
      </c>
      <c r="V30">
        <f>VLOOKUP(B30,[2]Nelsa!$A:$AF,32,FALSE)</f>
        <v>646.02</v>
      </c>
      <c r="W30" s="139">
        <f t="shared" ref="W30" si="6">V30+U30</f>
        <v>902.76757281553398</v>
      </c>
    </row>
    <row r="31" spans="1:23" ht="27" customHeight="1" x14ac:dyDescent="0.25">
      <c r="A31" s="133" t="s">
        <v>235</v>
      </c>
      <c r="B31" s="133" t="s">
        <v>235</v>
      </c>
      <c r="C31" s="133" t="s">
        <v>417</v>
      </c>
      <c r="D31" s="133" t="s">
        <v>327</v>
      </c>
      <c r="E31" s="136" t="s">
        <v>92</v>
      </c>
      <c r="F31" s="136" t="s">
        <v>237</v>
      </c>
      <c r="G31" s="133" t="s">
        <v>418</v>
      </c>
      <c r="H31" s="169">
        <v>15286</v>
      </c>
      <c r="I31" s="169">
        <v>12002</v>
      </c>
      <c r="J31" s="169">
        <v>11919</v>
      </c>
      <c r="K31" s="169">
        <v>5773</v>
      </c>
      <c r="L31" s="169">
        <v>0</v>
      </c>
      <c r="M31" s="169">
        <v>0</v>
      </c>
      <c r="N31" s="169">
        <v>0</v>
      </c>
      <c r="O31" s="169">
        <v>0</v>
      </c>
      <c r="P31" s="169"/>
      <c r="Q31" s="168">
        <v>3880</v>
      </c>
      <c r="R31" s="168">
        <v>11318</v>
      </c>
      <c r="S31" s="168">
        <v>13810</v>
      </c>
      <c r="T31" s="5">
        <f t="shared" si="1"/>
        <v>70108</v>
      </c>
      <c r="U31" s="139">
        <f t="shared" si="2"/>
        <v>680.66019417475729</v>
      </c>
      <c r="V31">
        <f>VLOOKUP(B31,[2]Nelsa!$A:$AF,32,FALSE)</f>
        <v>1499.05</v>
      </c>
      <c r="W31" s="139">
        <f t="shared" ref="W31" si="7">V31+U31</f>
        <v>2179.7101941747574</v>
      </c>
    </row>
    <row r="32" spans="1:23" ht="27" customHeight="1" x14ac:dyDescent="0.25">
      <c r="A32" s="133" t="s">
        <v>225</v>
      </c>
      <c r="B32" s="133" t="s">
        <v>225</v>
      </c>
      <c r="C32" s="133" t="s">
        <v>411</v>
      </c>
      <c r="D32" s="133" t="s">
        <v>327</v>
      </c>
      <c r="E32" s="136" t="s">
        <v>92</v>
      </c>
      <c r="F32" s="136" t="s">
        <v>227</v>
      </c>
      <c r="G32" s="133" t="s">
        <v>412</v>
      </c>
      <c r="H32" s="169">
        <v>3879</v>
      </c>
      <c r="I32" s="169">
        <v>3291</v>
      </c>
      <c r="J32" s="169">
        <v>3193</v>
      </c>
      <c r="K32" s="169">
        <v>1100</v>
      </c>
      <c r="L32" s="169">
        <v>168</v>
      </c>
      <c r="M32" s="169">
        <v>156</v>
      </c>
      <c r="N32" s="169">
        <v>144</v>
      </c>
      <c r="O32" s="169">
        <v>136</v>
      </c>
      <c r="P32" s="169"/>
      <c r="Q32" s="168">
        <v>1247</v>
      </c>
      <c r="R32" s="168">
        <v>2809</v>
      </c>
      <c r="S32" s="168">
        <v>3564</v>
      </c>
      <c r="T32" s="5">
        <f t="shared" si="1"/>
        <v>18440</v>
      </c>
      <c r="U32" s="139">
        <f t="shared" si="2"/>
        <v>179.02912621359224</v>
      </c>
      <c r="V32">
        <f>VLOOKUP(B32,[2]Nelsa!$A:$AF,32,FALSE)</f>
        <v>363.96</v>
      </c>
      <c r="W32" s="139">
        <f t="shared" ref="W32" si="8">V32+U32</f>
        <v>542.98912621359227</v>
      </c>
    </row>
    <row r="33" spans="1:24" ht="27" customHeight="1" x14ac:dyDescent="0.25">
      <c r="A33" s="133" t="s">
        <v>229</v>
      </c>
      <c r="B33" s="133" t="s">
        <v>229</v>
      </c>
      <c r="C33" s="133" t="s">
        <v>413</v>
      </c>
      <c r="D33" s="133" t="s">
        <v>327</v>
      </c>
      <c r="E33" s="136" t="s">
        <v>92</v>
      </c>
      <c r="F33" s="136" t="s">
        <v>231</v>
      </c>
      <c r="G33" s="133" t="s">
        <v>414</v>
      </c>
      <c r="H33" s="169">
        <v>1666</v>
      </c>
      <c r="I33" s="169">
        <v>1233</v>
      </c>
      <c r="J33" s="169">
        <v>1087</v>
      </c>
      <c r="K33" s="169">
        <v>287</v>
      </c>
      <c r="L33" s="169">
        <v>0</v>
      </c>
      <c r="M33" s="169">
        <v>2</v>
      </c>
      <c r="N33" s="169">
        <v>0</v>
      </c>
      <c r="O33" s="169">
        <v>0</v>
      </c>
      <c r="P33" s="169"/>
      <c r="Q33" s="168">
        <v>400</v>
      </c>
      <c r="R33" s="168">
        <v>1127</v>
      </c>
      <c r="S33" s="168">
        <v>1489</v>
      </c>
      <c r="T33" s="5">
        <f t="shared" si="1"/>
        <v>6891</v>
      </c>
      <c r="U33" s="139">
        <f t="shared" si="2"/>
        <v>66.902912621359221</v>
      </c>
      <c r="V33">
        <f>VLOOKUP(B33,[2]Nelsa!$A:$AF,32,FALSE)</f>
        <v>135.77000000000001</v>
      </c>
      <c r="W33" s="139">
        <f t="shared" ref="W33" si="9">V33+U33</f>
        <v>202.67291262135922</v>
      </c>
    </row>
    <row r="34" spans="1:24" ht="27" customHeight="1" x14ac:dyDescent="0.25">
      <c r="A34" s="133" t="s">
        <v>122</v>
      </c>
      <c r="B34" s="133" t="s">
        <v>122</v>
      </c>
      <c r="C34" s="133" t="s">
        <v>345</v>
      </c>
      <c r="D34" s="133" t="s">
        <v>327</v>
      </c>
      <c r="E34" s="136" t="s">
        <v>92</v>
      </c>
      <c r="F34" s="136" t="s">
        <v>124</v>
      </c>
      <c r="G34" s="133" t="s">
        <v>346</v>
      </c>
      <c r="H34" s="169">
        <v>2726</v>
      </c>
      <c r="I34" s="169">
        <v>2593</v>
      </c>
      <c r="J34" s="169">
        <v>1302</v>
      </c>
      <c r="K34" s="169">
        <v>196</v>
      </c>
      <c r="L34" s="169">
        <v>133</v>
      </c>
      <c r="M34" s="169">
        <v>162</v>
      </c>
      <c r="N34" s="169">
        <v>150</v>
      </c>
      <c r="O34" s="169">
        <v>134</v>
      </c>
      <c r="P34" s="169"/>
      <c r="Q34" s="168">
        <v>285</v>
      </c>
      <c r="R34" s="168">
        <v>2835</v>
      </c>
      <c r="S34" s="168">
        <v>3428</v>
      </c>
      <c r="T34" s="5">
        <f t="shared" si="1"/>
        <v>13659</v>
      </c>
      <c r="U34" s="139">
        <f t="shared" si="2"/>
        <v>132.61165048543688</v>
      </c>
      <c r="V34">
        <f>VLOOKUP(B34,[2]Nelsa!$A:$AF,32,FALSE)</f>
        <v>287.14</v>
      </c>
      <c r="W34" s="139">
        <f t="shared" ref="W34" si="10">V34+U34</f>
        <v>419.75165048543687</v>
      </c>
    </row>
    <row r="35" spans="1:24" ht="27" customHeight="1" x14ac:dyDescent="0.25">
      <c r="A35" s="133" t="s">
        <v>256</v>
      </c>
      <c r="B35" s="133" t="s">
        <v>256</v>
      </c>
      <c r="C35" s="133" t="s">
        <v>431</v>
      </c>
      <c r="D35" s="133" t="s">
        <v>327</v>
      </c>
      <c r="E35" s="136" t="s">
        <v>92</v>
      </c>
      <c r="F35" s="136" t="s">
        <v>258</v>
      </c>
      <c r="G35" s="133" t="s">
        <v>432</v>
      </c>
      <c r="H35" s="169">
        <v>35433</v>
      </c>
      <c r="I35" s="169">
        <v>30359</v>
      </c>
      <c r="J35" s="169">
        <v>22599</v>
      </c>
      <c r="K35" s="169">
        <v>2417</v>
      </c>
      <c r="L35" s="169">
        <v>0</v>
      </c>
      <c r="M35" s="169">
        <v>2020</v>
      </c>
      <c r="N35" s="169">
        <v>2367</v>
      </c>
      <c r="O35" s="169">
        <v>3791</v>
      </c>
      <c r="P35" s="169"/>
      <c r="Q35" s="168">
        <v>14806</v>
      </c>
      <c r="R35" s="168">
        <v>25891</v>
      </c>
      <c r="S35" s="168">
        <v>28032</v>
      </c>
      <c r="T35" s="5">
        <f t="shared" si="1"/>
        <v>152909</v>
      </c>
      <c r="U35" s="139">
        <f t="shared" si="2"/>
        <v>1484.5533980582525</v>
      </c>
      <c r="V35">
        <f>VLOOKUP(B35,[2]Nelsa!$A:$AF,32,FALSE)</f>
        <v>4214</v>
      </c>
      <c r="W35" s="139">
        <f t="shared" ref="W35" si="11">V35+U35</f>
        <v>5698.5533980582522</v>
      </c>
    </row>
    <row r="36" spans="1:24" ht="27" customHeight="1" x14ac:dyDescent="0.25">
      <c r="A36" s="133" t="s">
        <v>99</v>
      </c>
      <c r="B36" s="133" t="s">
        <v>99</v>
      </c>
      <c r="C36" s="133" t="s">
        <v>331</v>
      </c>
      <c r="D36" s="133" t="s">
        <v>327</v>
      </c>
      <c r="E36" s="136" t="s">
        <v>92</v>
      </c>
      <c r="F36" s="136" t="s">
        <v>101</v>
      </c>
      <c r="G36" s="133" t="s">
        <v>332</v>
      </c>
      <c r="H36" s="169">
        <v>5703</v>
      </c>
      <c r="I36" s="169">
        <v>4740</v>
      </c>
      <c r="J36" s="169">
        <v>3947</v>
      </c>
      <c r="K36" s="169">
        <v>442</v>
      </c>
      <c r="L36" s="169">
        <v>299</v>
      </c>
      <c r="M36" s="169">
        <v>654</v>
      </c>
      <c r="N36" s="169">
        <v>0</v>
      </c>
      <c r="O36" s="169">
        <v>301</v>
      </c>
      <c r="P36" s="169"/>
      <c r="Q36" s="168">
        <v>3244</v>
      </c>
      <c r="R36" s="168">
        <v>4322</v>
      </c>
      <c r="S36" s="168">
        <v>5034</v>
      </c>
      <c r="T36" s="5">
        <f t="shared" si="1"/>
        <v>25442</v>
      </c>
      <c r="U36" s="139">
        <f t="shared" si="2"/>
        <v>247.00970873786409</v>
      </c>
      <c r="V36">
        <f>VLOOKUP(B36,[2]Nelsa!$A:$AF,32,FALSE)</f>
        <v>690.73</v>
      </c>
      <c r="W36" s="139">
        <f t="shared" ref="W36" si="12">V36+U36</f>
        <v>937.73970873786413</v>
      </c>
    </row>
    <row r="37" spans="1:24" ht="27" customHeight="1" x14ac:dyDescent="0.25">
      <c r="A37" s="133" t="s">
        <v>103</v>
      </c>
      <c r="B37" s="133" t="s">
        <v>103</v>
      </c>
      <c r="C37" s="133" t="s">
        <v>333</v>
      </c>
      <c r="D37" s="133" t="s">
        <v>327</v>
      </c>
      <c r="E37" s="136" t="s">
        <v>92</v>
      </c>
      <c r="F37" s="136" t="s">
        <v>105</v>
      </c>
      <c r="G37" s="133" t="s">
        <v>334</v>
      </c>
      <c r="H37" s="169">
        <v>6573</v>
      </c>
      <c r="I37" s="169">
        <v>4775</v>
      </c>
      <c r="J37" s="169">
        <v>2901</v>
      </c>
      <c r="K37" s="169">
        <v>197</v>
      </c>
      <c r="L37" s="169">
        <v>0</v>
      </c>
      <c r="M37" s="169">
        <v>15</v>
      </c>
      <c r="N37" s="169">
        <v>0</v>
      </c>
      <c r="O37" s="169">
        <v>0</v>
      </c>
      <c r="P37" s="169"/>
      <c r="Q37" s="168">
        <v>1579</v>
      </c>
      <c r="R37" s="168">
        <v>5448</v>
      </c>
      <c r="S37" s="168">
        <v>6079</v>
      </c>
      <c r="T37" s="5">
        <f t="shared" si="1"/>
        <v>25988</v>
      </c>
      <c r="U37" s="139">
        <f t="shared" si="2"/>
        <v>252.3106796116505</v>
      </c>
      <c r="V37">
        <f>VLOOKUP(B37,[2]Nelsa!$A:$AF,32,FALSE)</f>
        <v>674.33</v>
      </c>
      <c r="W37" s="139">
        <f t="shared" ref="W37" si="13">V37+U37</f>
        <v>926.64067961165051</v>
      </c>
    </row>
    <row r="38" spans="1:24" ht="27" customHeight="1" x14ac:dyDescent="0.25">
      <c r="A38" s="133" t="s">
        <v>129</v>
      </c>
      <c r="B38" s="133" t="s">
        <v>129</v>
      </c>
      <c r="C38" s="133" t="s">
        <v>349</v>
      </c>
      <c r="D38" s="133" t="s">
        <v>327</v>
      </c>
      <c r="E38" s="136" t="s">
        <v>92</v>
      </c>
      <c r="F38" s="136" t="s">
        <v>131</v>
      </c>
      <c r="G38" s="133" t="s">
        <v>350</v>
      </c>
      <c r="H38" s="169">
        <v>12328</v>
      </c>
      <c r="I38" s="169">
        <v>8062</v>
      </c>
      <c r="J38" s="169">
        <v>8338</v>
      </c>
      <c r="K38" s="169">
        <v>1757</v>
      </c>
      <c r="L38" s="169">
        <v>1</v>
      </c>
      <c r="M38" s="169">
        <v>144</v>
      </c>
      <c r="N38" s="169">
        <v>507</v>
      </c>
      <c r="O38" s="169">
        <v>431</v>
      </c>
      <c r="P38" s="169"/>
      <c r="Q38" s="168">
        <v>1968</v>
      </c>
      <c r="R38" s="168">
        <v>7705</v>
      </c>
      <c r="S38" s="168">
        <v>11183</v>
      </c>
      <c r="T38" s="5">
        <f t="shared" si="1"/>
        <v>50456</v>
      </c>
      <c r="U38" s="139">
        <f t="shared" si="2"/>
        <v>489.86407766990294</v>
      </c>
      <c r="V38">
        <f>VLOOKUP(B38,[2]Nelsa!$A:$AF,32,FALSE)</f>
        <v>1123.48</v>
      </c>
      <c r="W38" s="139">
        <f t="shared" ref="W38" si="14">V38+U38</f>
        <v>1613.3440776699031</v>
      </c>
    </row>
    <row r="39" spans="1:24" ht="27" customHeight="1" x14ac:dyDescent="0.25">
      <c r="A39" s="133" t="s">
        <v>272</v>
      </c>
      <c r="B39" s="133" t="s">
        <v>272</v>
      </c>
      <c r="C39" s="133" t="s">
        <v>441</v>
      </c>
      <c r="D39" s="133" t="s">
        <v>327</v>
      </c>
      <c r="E39" s="136" t="s">
        <v>92</v>
      </c>
      <c r="F39" s="136" t="s">
        <v>274</v>
      </c>
      <c r="G39" s="133" t="s">
        <v>442</v>
      </c>
      <c r="H39" s="169">
        <v>3865</v>
      </c>
      <c r="I39" s="169">
        <v>2405</v>
      </c>
      <c r="J39" s="169">
        <v>1276</v>
      </c>
      <c r="K39" s="169">
        <v>63</v>
      </c>
      <c r="L39" s="169">
        <v>0</v>
      </c>
      <c r="M39" s="169">
        <v>0</v>
      </c>
      <c r="N39" s="169">
        <v>0</v>
      </c>
      <c r="O39" s="169">
        <v>59</v>
      </c>
      <c r="P39" s="169"/>
      <c r="Q39" s="168">
        <v>737</v>
      </c>
      <c r="R39" s="168">
        <v>2003</v>
      </c>
      <c r="S39" s="168">
        <v>2740</v>
      </c>
      <c r="T39" s="5">
        <f t="shared" si="1"/>
        <v>12411</v>
      </c>
      <c r="U39" s="139">
        <f t="shared" si="2"/>
        <v>120.49514563106796</v>
      </c>
      <c r="V39">
        <f>VLOOKUP(B39,[2]Nelsa!$A:$AF,32,FALSE)</f>
        <v>305.08</v>
      </c>
      <c r="W39" s="139">
        <f t="shared" ref="W39" si="15">V39+U39</f>
        <v>425.57514563106793</v>
      </c>
    </row>
    <row r="40" spans="1:24" ht="27" customHeight="1" x14ac:dyDescent="0.25">
      <c r="A40" s="133" t="s">
        <v>260</v>
      </c>
      <c r="B40" s="133" t="s">
        <v>260</v>
      </c>
      <c r="C40" s="133" t="s">
        <v>433</v>
      </c>
      <c r="D40" s="133" t="s">
        <v>327</v>
      </c>
      <c r="E40" s="136" t="s">
        <v>92</v>
      </c>
      <c r="F40" s="136" t="s">
        <v>262</v>
      </c>
      <c r="G40" s="133" t="s">
        <v>434</v>
      </c>
      <c r="H40" s="169">
        <v>5187</v>
      </c>
      <c r="I40" s="169">
        <v>3390</v>
      </c>
      <c r="J40" s="169">
        <v>2077</v>
      </c>
      <c r="K40" s="169">
        <v>151</v>
      </c>
      <c r="L40" s="169">
        <v>6</v>
      </c>
      <c r="M40" s="169">
        <v>0</v>
      </c>
      <c r="N40" s="169">
        <v>0</v>
      </c>
      <c r="O40" s="169">
        <v>0</v>
      </c>
      <c r="P40" s="169"/>
      <c r="Q40" s="168">
        <v>1026</v>
      </c>
      <c r="R40" s="168">
        <v>2968</v>
      </c>
      <c r="S40" s="168">
        <v>4146</v>
      </c>
      <c r="T40" s="5">
        <f t="shared" si="1"/>
        <v>17925</v>
      </c>
      <c r="U40" s="139">
        <f t="shared" si="2"/>
        <v>174.02912621359224</v>
      </c>
      <c r="V40">
        <f>VLOOKUP(B40,[2]Nelsa!$A:$AF,32,FALSE)</f>
        <v>455.1</v>
      </c>
      <c r="W40" s="139">
        <f t="shared" ref="W40" si="16">V40+U40</f>
        <v>629.12912621359226</v>
      </c>
      <c r="X40">
        <v>303.05</v>
      </c>
    </row>
    <row r="41" spans="1:24" ht="27" customHeight="1" x14ac:dyDescent="0.25">
      <c r="A41" s="133" t="s">
        <v>266</v>
      </c>
      <c r="B41" s="133" t="s">
        <v>266</v>
      </c>
      <c r="C41" s="133" t="s">
        <v>437</v>
      </c>
      <c r="D41" s="133" t="s">
        <v>327</v>
      </c>
      <c r="E41" s="136" t="s">
        <v>92</v>
      </c>
      <c r="F41" s="136" t="s">
        <v>268</v>
      </c>
      <c r="G41" s="133" t="s">
        <v>438</v>
      </c>
      <c r="H41" s="169">
        <v>1191</v>
      </c>
      <c r="I41" s="169">
        <v>963</v>
      </c>
      <c r="J41" s="169">
        <v>1163</v>
      </c>
      <c r="K41" s="169">
        <v>331</v>
      </c>
      <c r="L41" s="169">
        <v>0</v>
      </c>
      <c r="M41" s="169">
        <v>0</v>
      </c>
      <c r="N41" s="169">
        <v>0</v>
      </c>
      <c r="O41" s="169">
        <v>0</v>
      </c>
      <c r="P41" s="169"/>
      <c r="Q41" s="168">
        <v>338</v>
      </c>
      <c r="R41" s="168">
        <v>991</v>
      </c>
      <c r="S41" s="168">
        <v>1165</v>
      </c>
      <c r="T41" s="5">
        <f t="shared" si="1"/>
        <v>5804</v>
      </c>
      <c r="U41" s="139">
        <f t="shared" si="2"/>
        <v>56.349514563106794</v>
      </c>
      <c r="V41">
        <f>VLOOKUP(B41,[2]Nelsa!$A:$AF,32,FALSE)</f>
        <v>116.52</v>
      </c>
      <c r="W41" s="139">
        <f t="shared" ref="W41" si="17">V41+U41</f>
        <v>172.8695145631068</v>
      </c>
    </row>
    <row r="42" spans="1:24" ht="27" customHeight="1" x14ac:dyDescent="0.25">
      <c r="A42" s="133" t="s">
        <v>219</v>
      </c>
      <c r="B42" s="133" t="s">
        <v>219</v>
      </c>
      <c r="C42" s="133" t="s">
        <v>407</v>
      </c>
      <c r="D42" s="133" t="s">
        <v>327</v>
      </c>
      <c r="E42" s="136" t="s">
        <v>92</v>
      </c>
      <c r="F42" s="136" t="s">
        <v>221</v>
      </c>
      <c r="G42" s="133" t="s">
        <v>408</v>
      </c>
      <c r="H42" s="169">
        <v>7831</v>
      </c>
      <c r="I42" s="169">
        <v>5062</v>
      </c>
      <c r="J42" s="169">
        <v>3253</v>
      </c>
      <c r="K42" s="169">
        <v>254</v>
      </c>
      <c r="L42" s="169">
        <v>0</v>
      </c>
      <c r="M42" s="169">
        <v>0</v>
      </c>
      <c r="N42" s="169">
        <v>1</v>
      </c>
      <c r="O42" s="169">
        <v>156</v>
      </c>
      <c r="P42" s="169"/>
      <c r="Q42" s="168">
        <v>1989</v>
      </c>
      <c r="R42" s="168">
        <v>5259</v>
      </c>
      <c r="S42" s="168">
        <v>6737</v>
      </c>
      <c r="T42" s="5">
        <f t="shared" si="1"/>
        <v>28553</v>
      </c>
      <c r="U42" s="139">
        <f t="shared" si="2"/>
        <v>277.21359223300971</v>
      </c>
      <c r="V42">
        <f>VLOOKUP(B42,[2]Nelsa!$A:$AF,32,FALSE)</f>
        <v>706.31</v>
      </c>
      <c r="W42" s="139">
        <f t="shared" ref="W42" si="18">V42+U42</f>
        <v>983.52359223300959</v>
      </c>
    </row>
    <row r="43" spans="1:24" ht="27" customHeight="1" x14ac:dyDescent="0.25">
      <c r="A43" s="133" t="s">
        <v>139</v>
      </c>
      <c r="B43" s="133" t="s">
        <v>139</v>
      </c>
      <c r="C43" s="133" t="s">
        <v>355</v>
      </c>
      <c r="D43" s="133" t="s">
        <v>327</v>
      </c>
      <c r="E43" s="136" t="s">
        <v>92</v>
      </c>
      <c r="F43" s="136" t="s">
        <v>141</v>
      </c>
      <c r="G43" s="133" t="s">
        <v>356</v>
      </c>
      <c r="H43" s="169">
        <v>14620</v>
      </c>
      <c r="I43" s="169">
        <v>10345</v>
      </c>
      <c r="J43" s="169">
        <v>5618</v>
      </c>
      <c r="K43" s="169">
        <v>747</v>
      </c>
      <c r="L43" s="169">
        <v>630</v>
      </c>
      <c r="M43" s="169">
        <v>0</v>
      </c>
      <c r="N43" s="169">
        <v>0</v>
      </c>
      <c r="O43" s="169">
        <v>0</v>
      </c>
      <c r="P43" s="169"/>
      <c r="Q43" s="168">
        <v>1861</v>
      </c>
      <c r="R43" s="168">
        <v>7108</v>
      </c>
      <c r="S43" s="168">
        <v>12016</v>
      </c>
      <c r="T43" s="5">
        <f t="shared" si="1"/>
        <v>51084</v>
      </c>
      <c r="U43" s="139">
        <f t="shared" si="2"/>
        <v>495.96116504854371</v>
      </c>
      <c r="V43">
        <f>VLOOKUP(B43,[2]Nelsa!$A:$AF,32,FALSE)</f>
        <v>898.88</v>
      </c>
      <c r="W43" s="139">
        <f t="shared" ref="W43" si="19">V43+U43</f>
        <v>1394.8411650485436</v>
      </c>
    </row>
    <row r="44" spans="1:24" ht="27" customHeight="1" x14ac:dyDescent="0.25">
      <c r="A44" s="133" t="s">
        <v>107</v>
      </c>
      <c r="B44" s="133" t="s">
        <v>107</v>
      </c>
      <c r="C44" s="133" t="s">
        <v>335</v>
      </c>
      <c r="D44" s="133" t="s">
        <v>327</v>
      </c>
      <c r="E44" s="136" t="s">
        <v>92</v>
      </c>
      <c r="F44" s="136" t="s">
        <v>109</v>
      </c>
      <c r="G44" s="133" t="s">
        <v>336</v>
      </c>
      <c r="H44" s="169">
        <v>0</v>
      </c>
      <c r="I44" s="169">
        <v>0</v>
      </c>
      <c r="J44" s="169">
        <v>1291</v>
      </c>
      <c r="K44" s="169">
        <v>343</v>
      </c>
      <c r="L44" s="169">
        <v>22191</v>
      </c>
      <c r="M44" s="169">
        <v>0</v>
      </c>
      <c r="N44" s="169">
        <v>0</v>
      </c>
      <c r="O44" s="169">
        <v>0</v>
      </c>
      <c r="P44" s="169"/>
      <c r="Q44" s="168">
        <v>0</v>
      </c>
      <c r="R44" s="168">
        <v>0</v>
      </c>
      <c r="S44" s="168">
        <v>0</v>
      </c>
      <c r="T44" s="5">
        <f t="shared" si="1"/>
        <v>23825</v>
      </c>
      <c r="U44" s="139">
        <f t="shared" si="2"/>
        <v>231.3106796116505</v>
      </c>
      <c r="V44">
        <f>VLOOKUP(B44,[2]Nelsa!$A:$AF,32,FALSE)</f>
        <v>430.8</v>
      </c>
      <c r="W44" s="139">
        <f t="shared" ref="W44" si="20">V44+U44</f>
        <v>662.11067961165054</v>
      </c>
    </row>
    <row r="45" spans="1:24" ht="27" customHeight="1" x14ac:dyDescent="0.25">
      <c r="A45" s="133" t="s">
        <v>159</v>
      </c>
      <c r="B45" s="133" t="s">
        <v>159</v>
      </c>
      <c r="C45" s="133" t="s">
        <v>367</v>
      </c>
      <c r="D45" s="133" t="s">
        <v>327</v>
      </c>
      <c r="E45" s="136" t="s">
        <v>92</v>
      </c>
      <c r="F45" s="136" t="s">
        <v>161</v>
      </c>
      <c r="G45" s="133" t="s">
        <v>368</v>
      </c>
      <c r="H45" s="169">
        <v>1970</v>
      </c>
      <c r="I45" s="169">
        <v>1719</v>
      </c>
      <c r="J45" s="169">
        <v>1694</v>
      </c>
      <c r="K45" s="169">
        <v>-2774</v>
      </c>
      <c r="L45" s="169">
        <v>0</v>
      </c>
      <c r="M45" s="169">
        <v>0</v>
      </c>
      <c r="N45" s="169">
        <v>0</v>
      </c>
      <c r="O45" s="169">
        <v>0</v>
      </c>
      <c r="P45" s="169"/>
      <c r="Q45" s="168">
        <v>393</v>
      </c>
      <c r="R45" s="168">
        <v>1275</v>
      </c>
      <c r="S45" s="168">
        <v>1754</v>
      </c>
      <c r="T45" s="5">
        <f t="shared" si="1"/>
        <v>5638</v>
      </c>
      <c r="U45" s="139">
        <f t="shared" si="2"/>
        <v>54.737864077669904</v>
      </c>
      <c r="V45">
        <f>VLOOKUP(B45,[2]Nelsa!$A:$AF,32,FALSE)</f>
        <v>171.84</v>
      </c>
      <c r="W45" s="139">
        <f t="shared" ref="W45" si="21">V45+U45</f>
        <v>226.57786407766991</v>
      </c>
    </row>
    <row r="46" spans="1:24" ht="27" customHeight="1" x14ac:dyDescent="0.25">
      <c r="A46" s="133" t="s">
        <v>171</v>
      </c>
      <c r="B46" s="133" t="s">
        <v>171</v>
      </c>
      <c r="C46" s="133" t="s">
        <v>375</v>
      </c>
      <c r="D46" s="133" t="s">
        <v>327</v>
      </c>
      <c r="E46" s="136" t="s">
        <v>92</v>
      </c>
      <c r="F46" s="136" t="s">
        <v>173</v>
      </c>
      <c r="G46" s="133" t="s">
        <v>376</v>
      </c>
      <c r="H46" s="169">
        <v>3189</v>
      </c>
      <c r="I46" s="169">
        <v>2240</v>
      </c>
      <c r="J46" s="169">
        <v>1189</v>
      </c>
      <c r="K46" s="169">
        <v>168</v>
      </c>
      <c r="L46" s="169">
        <v>111</v>
      </c>
      <c r="M46" s="169">
        <v>156</v>
      </c>
      <c r="N46" s="169">
        <v>123</v>
      </c>
      <c r="O46" s="169">
        <v>24</v>
      </c>
      <c r="P46" s="169"/>
      <c r="Q46" s="168">
        <v>867</v>
      </c>
      <c r="R46" s="168">
        <v>1781</v>
      </c>
      <c r="S46" s="168">
        <v>2276</v>
      </c>
      <c r="T46" s="5">
        <f t="shared" si="1"/>
        <v>11257</v>
      </c>
      <c r="U46" s="139">
        <f t="shared" si="2"/>
        <v>109.29126213592232</v>
      </c>
      <c r="V46">
        <f>VLOOKUP(B46,[2]Nelsa!$A:$AF,32,FALSE)</f>
        <v>244.05</v>
      </c>
      <c r="W46" s="139">
        <f t="shared" ref="W46" si="22">V46+U46</f>
        <v>353.34126213592231</v>
      </c>
    </row>
    <row r="47" spans="1:24" ht="27" customHeight="1" x14ac:dyDescent="0.25">
      <c r="A47" s="133" t="s">
        <v>174</v>
      </c>
      <c r="B47" s="133" t="s">
        <v>174</v>
      </c>
      <c r="C47" s="133" t="s">
        <v>377</v>
      </c>
      <c r="D47" s="133" t="s">
        <v>327</v>
      </c>
      <c r="E47" s="136" t="s">
        <v>92</v>
      </c>
      <c r="F47" s="136" t="s">
        <v>176</v>
      </c>
      <c r="G47" s="133" t="s">
        <v>378</v>
      </c>
      <c r="H47" s="169">
        <v>8322</v>
      </c>
      <c r="I47" s="169">
        <v>5067</v>
      </c>
      <c r="J47" s="169">
        <v>3199</v>
      </c>
      <c r="K47" s="169">
        <v>332</v>
      </c>
      <c r="L47" s="169">
        <v>36</v>
      </c>
      <c r="M47" s="169">
        <v>0</v>
      </c>
      <c r="N47" s="169">
        <v>0</v>
      </c>
      <c r="O47" s="169">
        <v>722</v>
      </c>
      <c r="P47" s="169"/>
      <c r="Q47" s="168">
        <v>2752</v>
      </c>
      <c r="R47" s="168">
        <v>5185</v>
      </c>
      <c r="S47" s="168">
        <v>5279</v>
      </c>
      <c r="T47" s="5">
        <f t="shared" si="1"/>
        <v>28142</v>
      </c>
      <c r="U47" s="139">
        <f t="shared" si="2"/>
        <v>273.22330097087377</v>
      </c>
      <c r="V47">
        <f>VLOOKUP(B47,[2]Nelsa!$A:$AF,32,FALSE)</f>
        <v>773.6</v>
      </c>
      <c r="W47" s="139">
        <f t="shared" ref="W47" si="23">V47+U47</f>
        <v>1046.8233009708738</v>
      </c>
      <c r="X47">
        <v>1566.98</v>
      </c>
    </row>
    <row r="48" spans="1:24" ht="27" customHeight="1" x14ac:dyDescent="0.25">
      <c r="A48" s="133" t="s">
        <v>152</v>
      </c>
      <c r="B48" s="133" t="s">
        <v>152</v>
      </c>
      <c r="C48" s="133" t="s">
        <v>363</v>
      </c>
      <c r="D48" s="133" t="s">
        <v>327</v>
      </c>
      <c r="E48" s="136" t="s">
        <v>92</v>
      </c>
      <c r="F48" s="136" t="s">
        <v>154</v>
      </c>
      <c r="G48" s="133" t="s">
        <v>364</v>
      </c>
      <c r="H48" s="169">
        <v>10914</v>
      </c>
      <c r="I48" s="169">
        <v>9076</v>
      </c>
      <c r="J48" s="169">
        <v>8511</v>
      </c>
      <c r="K48" s="169">
        <v>2920</v>
      </c>
      <c r="L48" s="169">
        <v>0</v>
      </c>
      <c r="M48" s="169">
        <v>0</v>
      </c>
      <c r="N48" s="169">
        <v>0</v>
      </c>
      <c r="O48" s="169">
        <v>0</v>
      </c>
      <c r="P48" s="169"/>
      <c r="Q48" s="168">
        <v>2725</v>
      </c>
      <c r="R48" s="168">
        <v>6942</v>
      </c>
      <c r="S48" s="168">
        <v>8203</v>
      </c>
      <c r="T48" s="5">
        <f t="shared" si="1"/>
        <v>46566</v>
      </c>
      <c r="U48" s="139">
        <f t="shared" si="2"/>
        <v>452.09708737864077</v>
      </c>
      <c r="V48">
        <f>VLOOKUP(B48,[2]Nelsa!$A:$AF,32,FALSE)</f>
        <v>1210.17</v>
      </c>
      <c r="W48" s="139">
        <f t="shared" ref="W48" si="24">V48+U48</f>
        <v>1662.2670873786408</v>
      </c>
    </row>
    <row r="49" spans="1:24" ht="27" customHeight="1" x14ac:dyDescent="0.25">
      <c r="A49" s="133" t="s">
        <v>162</v>
      </c>
      <c r="B49" s="133" t="s">
        <v>162</v>
      </c>
      <c r="C49" s="133" t="s">
        <v>369</v>
      </c>
      <c r="D49" s="133" t="s">
        <v>327</v>
      </c>
      <c r="E49" s="136" t="s">
        <v>92</v>
      </c>
      <c r="F49" s="136" t="s">
        <v>164</v>
      </c>
      <c r="G49" s="133" t="s">
        <v>370</v>
      </c>
      <c r="H49" s="169">
        <v>8675</v>
      </c>
      <c r="I49" s="169">
        <v>6059</v>
      </c>
      <c r="J49" s="169">
        <v>6316</v>
      </c>
      <c r="K49" s="169">
        <v>939</v>
      </c>
      <c r="L49" s="169">
        <v>0</v>
      </c>
      <c r="M49" s="169">
        <v>0</v>
      </c>
      <c r="N49" s="169">
        <v>0</v>
      </c>
      <c r="O49" s="169">
        <v>0</v>
      </c>
      <c r="P49" s="169"/>
      <c r="Q49" s="168">
        <v>2719</v>
      </c>
      <c r="R49" s="168">
        <v>6041</v>
      </c>
      <c r="S49" s="168">
        <v>7711</v>
      </c>
      <c r="T49" s="5">
        <f t="shared" si="1"/>
        <v>35741</v>
      </c>
      <c r="U49" s="139">
        <f t="shared" si="2"/>
        <v>347</v>
      </c>
      <c r="V49">
        <f>VLOOKUP(B49,[2]Nelsa!$A:$AF,32,FALSE)</f>
        <v>840.15</v>
      </c>
      <c r="W49" s="139">
        <f t="shared" ref="W49" si="25">V49+U49</f>
        <v>1187.1500000000001</v>
      </c>
    </row>
    <row r="50" spans="1:24" ht="27" customHeight="1" x14ac:dyDescent="0.25">
      <c r="A50" s="133" t="s">
        <v>145</v>
      </c>
      <c r="B50" s="133" t="s">
        <v>145</v>
      </c>
      <c r="C50" s="133" t="s">
        <v>359</v>
      </c>
      <c r="D50" s="133" t="s">
        <v>327</v>
      </c>
      <c r="E50" s="136" t="s">
        <v>92</v>
      </c>
      <c r="F50" s="136" t="s">
        <v>147</v>
      </c>
      <c r="G50" s="133" t="s">
        <v>360</v>
      </c>
      <c r="H50" s="169">
        <v>9247</v>
      </c>
      <c r="I50" s="169">
        <v>5004</v>
      </c>
      <c r="J50" s="169">
        <v>3586</v>
      </c>
      <c r="K50" s="169">
        <v>225</v>
      </c>
      <c r="L50" s="169">
        <v>0</v>
      </c>
      <c r="M50" s="169">
        <v>0</v>
      </c>
      <c r="N50" s="169">
        <v>0</v>
      </c>
      <c r="O50" s="169">
        <v>0</v>
      </c>
      <c r="P50" s="169"/>
      <c r="Q50" s="168">
        <v>1337</v>
      </c>
      <c r="R50" s="168">
        <v>5140</v>
      </c>
      <c r="S50" s="168">
        <v>6790</v>
      </c>
      <c r="T50" s="5">
        <f t="shared" si="1"/>
        <v>29992</v>
      </c>
      <c r="U50" s="139">
        <f t="shared" si="2"/>
        <v>291.18446601941747</v>
      </c>
      <c r="V50">
        <f>VLOOKUP(B50,[2]Nelsa!$A:$AF,32,FALSE)</f>
        <v>791.04</v>
      </c>
      <c r="W50" s="139">
        <f t="shared" ref="W50" si="26">V50+U50</f>
        <v>1082.2244660194174</v>
      </c>
      <c r="X50">
        <f>4190+955.96</f>
        <v>5145.96</v>
      </c>
    </row>
    <row r="51" spans="1:24" ht="27" customHeight="1" x14ac:dyDescent="0.25">
      <c r="A51" s="133" t="s">
        <v>201</v>
      </c>
      <c r="B51" s="133" t="s">
        <v>201</v>
      </c>
      <c r="C51" s="133" t="s">
        <v>395</v>
      </c>
      <c r="D51" s="133" t="s">
        <v>327</v>
      </c>
      <c r="E51" s="136" t="s">
        <v>92</v>
      </c>
      <c r="F51" s="136" t="s">
        <v>203</v>
      </c>
      <c r="G51" s="133" t="s">
        <v>396</v>
      </c>
      <c r="H51" s="169">
        <v>12662</v>
      </c>
      <c r="I51" s="169">
        <v>7297</v>
      </c>
      <c r="J51" s="169">
        <v>7230</v>
      </c>
      <c r="K51" s="169">
        <v>1517</v>
      </c>
      <c r="L51" s="169">
        <v>9</v>
      </c>
      <c r="M51" s="169">
        <v>0</v>
      </c>
      <c r="N51" s="169">
        <v>0</v>
      </c>
      <c r="O51" s="169">
        <v>0</v>
      </c>
      <c r="P51" s="169"/>
      <c r="Q51" s="168">
        <v>2042</v>
      </c>
      <c r="R51" s="168">
        <v>8409</v>
      </c>
      <c r="S51" s="168">
        <v>11804</v>
      </c>
      <c r="T51" s="5">
        <f t="shared" si="1"/>
        <v>48928</v>
      </c>
      <c r="U51" s="139">
        <f t="shared" si="2"/>
        <v>475.02912621359224</v>
      </c>
      <c r="V51">
        <f>VLOOKUP(B51,[2]Nelsa!$A:$AF,32,FALSE)</f>
        <v>1121.44</v>
      </c>
      <c r="W51" s="139">
        <f t="shared" ref="W51" si="27">V51+U51</f>
        <v>1596.4691262135923</v>
      </c>
    </row>
    <row r="52" spans="1:24" ht="27" customHeight="1" x14ac:dyDescent="0.25">
      <c r="A52" s="133" t="s">
        <v>192</v>
      </c>
      <c r="B52" s="133" t="s">
        <v>192</v>
      </c>
      <c r="C52" s="133" t="s">
        <v>389</v>
      </c>
      <c r="D52" s="133" t="s">
        <v>327</v>
      </c>
      <c r="E52" s="136" t="s">
        <v>92</v>
      </c>
      <c r="F52" s="136" t="s">
        <v>194</v>
      </c>
      <c r="G52" s="133" t="s">
        <v>390</v>
      </c>
      <c r="H52" s="169">
        <v>7179</v>
      </c>
      <c r="I52" s="169">
        <v>4712</v>
      </c>
      <c r="J52" s="169">
        <v>4545</v>
      </c>
      <c r="K52" s="169">
        <v>1224</v>
      </c>
      <c r="L52" s="169">
        <v>259</v>
      </c>
      <c r="M52" s="169">
        <v>0</v>
      </c>
      <c r="N52" s="169">
        <v>0</v>
      </c>
      <c r="O52" s="169">
        <v>0</v>
      </c>
      <c r="P52" s="169"/>
      <c r="Q52" s="168">
        <v>1489</v>
      </c>
      <c r="R52" s="168">
        <v>5138</v>
      </c>
      <c r="S52" s="168">
        <v>6785</v>
      </c>
      <c r="T52" s="5">
        <f t="shared" si="1"/>
        <v>29842</v>
      </c>
      <c r="U52" s="139">
        <f t="shared" si="2"/>
        <v>289.72815533980582</v>
      </c>
      <c r="V52">
        <f>VLOOKUP(B52,[2]Nelsa!$A:$AF,32,FALSE)</f>
        <v>787.02</v>
      </c>
      <c r="W52" s="139">
        <f t="shared" ref="W52" si="28">V52+U52</f>
        <v>1076.7481553398059</v>
      </c>
    </row>
    <row r="53" spans="1:24" ht="27" customHeight="1" x14ac:dyDescent="0.25">
      <c r="A53" s="133" t="s">
        <v>198</v>
      </c>
      <c r="B53" s="133" t="s">
        <v>198</v>
      </c>
      <c r="C53" s="133" t="s">
        <v>393</v>
      </c>
      <c r="D53" s="133" t="s">
        <v>327</v>
      </c>
      <c r="E53" s="136" t="s">
        <v>92</v>
      </c>
      <c r="F53" s="136" t="s">
        <v>200</v>
      </c>
      <c r="G53" s="133" t="s">
        <v>394</v>
      </c>
      <c r="H53" s="169">
        <v>8753</v>
      </c>
      <c r="I53" s="169">
        <v>6409</v>
      </c>
      <c r="J53" s="169">
        <v>3354</v>
      </c>
      <c r="K53" s="169">
        <v>253</v>
      </c>
      <c r="L53" s="169">
        <v>0</v>
      </c>
      <c r="M53" s="169">
        <v>223</v>
      </c>
      <c r="N53" s="169">
        <v>440</v>
      </c>
      <c r="O53" s="169">
        <v>183</v>
      </c>
      <c r="P53" s="169"/>
      <c r="Q53" s="168">
        <v>2262</v>
      </c>
      <c r="R53" s="168">
        <v>5525</v>
      </c>
      <c r="S53" s="168">
        <v>7678</v>
      </c>
      <c r="T53" s="5">
        <f t="shared" si="1"/>
        <v>32818</v>
      </c>
      <c r="U53" s="139">
        <f t="shared" si="2"/>
        <v>318.621359223301</v>
      </c>
      <c r="V53">
        <f>VLOOKUP(B53,[2]Nelsa!$A:$AF,32,FALSE)</f>
        <v>830.8</v>
      </c>
      <c r="W53" s="139">
        <f t="shared" ref="W53" si="29">V53+U53</f>
        <v>1149.4213592233009</v>
      </c>
      <c r="X53">
        <v>1038.42</v>
      </c>
    </row>
    <row r="54" spans="1:24" ht="27" customHeight="1" x14ac:dyDescent="0.25">
      <c r="A54" s="133" t="s">
        <v>263</v>
      </c>
      <c r="B54" s="133" t="s">
        <v>263</v>
      </c>
      <c r="C54" s="133" t="s">
        <v>435</v>
      </c>
      <c r="D54" s="133" t="s">
        <v>327</v>
      </c>
      <c r="E54" s="136" t="s">
        <v>92</v>
      </c>
      <c r="F54" s="136" t="s">
        <v>265</v>
      </c>
      <c r="G54" s="133" t="s">
        <v>436</v>
      </c>
      <c r="H54" s="169">
        <v>1227</v>
      </c>
      <c r="I54" s="169">
        <v>1070</v>
      </c>
      <c r="J54" s="169">
        <v>1054</v>
      </c>
      <c r="K54" s="169">
        <v>-1051</v>
      </c>
      <c r="L54" s="169">
        <v>0</v>
      </c>
      <c r="M54" s="169">
        <v>0</v>
      </c>
      <c r="N54" s="169">
        <v>0</v>
      </c>
      <c r="O54" s="169">
        <v>37</v>
      </c>
      <c r="P54" s="169"/>
      <c r="Q54" s="168">
        <v>486</v>
      </c>
      <c r="R54" s="168">
        <v>794</v>
      </c>
      <c r="S54" s="168">
        <v>728</v>
      </c>
      <c r="T54" s="5">
        <f t="shared" si="1"/>
        <v>3859</v>
      </c>
      <c r="U54" s="139">
        <f t="shared" si="2"/>
        <v>37.466019417475728</v>
      </c>
      <c r="V54">
        <f>VLOOKUP(B54,[2]Nelsa!$A:$AF,32,FALSE)</f>
        <v>120.32</v>
      </c>
      <c r="W54" s="139">
        <f t="shared" ref="W54" si="30">V54+U54</f>
        <v>157.78601941747573</v>
      </c>
    </row>
    <row r="55" spans="1:24" ht="27" customHeight="1" x14ac:dyDescent="0.25">
      <c r="A55" s="133" t="s">
        <v>186</v>
      </c>
      <c r="B55" s="133" t="s">
        <v>186</v>
      </c>
      <c r="C55" s="133" t="s">
        <v>385</v>
      </c>
      <c r="D55" s="133" t="s">
        <v>327</v>
      </c>
      <c r="E55" s="136" t="s">
        <v>92</v>
      </c>
      <c r="F55" s="136" t="s">
        <v>188</v>
      </c>
      <c r="G55" s="133" t="s">
        <v>386</v>
      </c>
      <c r="H55" s="169">
        <v>1978</v>
      </c>
      <c r="I55" s="169">
        <v>1335</v>
      </c>
      <c r="J55" s="169">
        <v>1462</v>
      </c>
      <c r="K55" s="169">
        <v>430</v>
      </c>
      <c r="L55" s="169">
        <v>0</v>
      </c>
      <c r="M55" s="169">
        <v>0</v>
      </c>
      <c r="N55" s="169">
        <v>0</v>
      </c>
      <c r="O55" s="169">
        <v>0</v>
      </c>
      <c r="P55" s="169"/>
      <c r="Q55" s="168">
        <v>436</v>
      </c>
      <c r="R55" s="168">
        <v>1096</v>
      </c>
      <c r="S55" s="168">
        <v>1723</v>
      </c>
      <c r="T55" s="5">
        <f t="shared" si="1"/>
        <v>8024</v>
      </c>
      <c r="U55" s="139">
        <f t="shared" si="2"/>
        <v>77.902912621359221</v>
      </c>
      <c r="V55">
        <f>VLOOKUP(B55,[2]Nelsa!$A:$AF,32,FALSE)</f>
        <v>203.1</v>
      </c>
      <c r="W55" s="139">
        <f t="shared" ref="W55" si="31">V55+U55</f>
        <v>281.0029126213592</v>
      </c>
    </row>
    <row r="56" spans="1:24" ht="27" customHeight="1" x14ac:dyDescent="0.25">
      <c r="A56" s="133" t="s">
        <v>238</v>
      </c>
      <c r="B56" s="133" t="s">
        <v>238</v>
      </c>
      <c r="C56" s="133" t="s">
        <v>419</v>
      </c>
      <c r="D56" s="133" t="s">
        <v>327</v>
      </c>
      <c r="E56" s="136" t="s">
        <v>92</v>
      </c>
      <c r="F56" s="171" t="s">
        <v>240</v>
      </c>
      <c r="G56" s="133" t="s">
        <v>420</v>
      </c>
      <c r="H56" s="169">
        <v>673</v>
      </c>
      <c r="I56" s="169">
        <v>510</v>
      </c>
      <c r="J56" s="169">
        <v>499</v>
      </c>
      <c r="K56" s="169">
        <v>311</v>
      </c>
      <c r="L56" s="169">
        <v>172</v>
      </c>
      <c r="M56" s="169">
        <v>0</v>
      </c>
      <c r="N56" s="169">
        <v>208</v>
      </c>
      <c r="O56" s="169">
        <v>66</v>
      </c>
      <c r="P56" s="169"/>
      <c r="Q56" s="168">
        <v>238</v>
      </c>
      <c r="R56" s="168">
        <v>581</v>
      </c>
      <c r="S56" s="168">
        <v>652</v>
      </c>
      <c r="T56" s="5">
        <f t="shared" si="1"/>
        <v>3672</v>
      </c>
      <c r="U56" s="139">
        <f t="shared" si="2"/>
        <v>35.650485436893206</v>
      </c>
      <c r="V56">
        <f>VLOOKUP(B56,[2]Nelsa!$A:$AF,32,FALSE)</f>
        <v>0</v>
      </c>
      <c r="W56" s="139">
        <f t="shared" ref="W56" si="32">V56+U56</f>
        <v>35.650485436893206</v>
      </c>
    </row>
    <row r="57" spans="1:24" ht="27" customHeight="1" x14ac:dyDescent="0.25">
      <c r="A57" s="133" t="s">
        <v>207</v>
      </c>
      <c r="B57" s="133" t="s">
        <v>207</v>
      </c>
      <c r="C57" s="133" t="s">
        <v>399</v>
      </c>
      <c r="D57" s="133" t="s">
        <v>327</v>
      </c>
      <c r="E57" s="136" t="s">
        <v>92</v>
      </c>
      <c r="F57" s="171" t="s">
        <v>209</v>
      </c>
      <c r="G57" s="133" t="s">
        <v>400</v>
      </c>
      <c r="H57" s="169">
        <v>1020</v>
      </c>
      <c r="I57" s="169">
        <v>890</v>
      </c>
      <c r="J57" s="169">
        <v>876</v>
      </c>
      <c r="K57" s="169">
        <v>361</v>
      </c>
      <c r="L57" s="169">
        <v>3186</v>
      </c>
      <c r="M57" s="169">
        <v>0</v>
      </c>
      <c r="N57" s="169">
        <v>0</v>
      </c>
      <c r="O57" s="169">
        <v>0</v>
      </c>
      <c r="P57" s="169"/>
      <c r="Q57" s="168">
        <v>204</v>
      </c>
      <c r="R57" s="168">
        <v>660</v>
      </c>
      <c r="S57" s="168">
        <v>907</v>
      </c>
      <c r="T57" s="5">
        <f t="shared" si="1"/>
        <v>7900</v>
      </c>
      <c r="U57" s="139">
        <f t="shared" si="2"/>
        <v>76.699029126213588</v>
      </c>
      <c r="V57">
        <f>VLOOKUP(B57,[2]Nelsa!$A:$AF,32,FALSE)</f>
        <v>0</v>
      </c>
      <c r="W57" s="139">
        <f t="shared" ref="W57" si="33">V57+U57</f>
        <v>76.699029126213588</v>
      </c>
    </row>
    <row r="58" spans="1:24" ht="27" customHeight="1" x14ac:dyDescent="0.25">
      <c r="A58" s="133" t="s">
        <v>119</v>
      </c>
      <c r="B58" s="133" t="s">
        <v>119</v>
      </c>
      <c r="C58" s="133" t="s">
        <v>343</v>
      </c>
      <c r="D58" s="133" t="s">
        <v>327</v>
      </c>
      <c r="E58" s="136" t="s">
        <v>92</v>
      </c>
      <c r="F58" s="136" t="s">
        <v>121</v>
      </c>
      <c r="G58" s="133" t="s">
        <v>344</v>
      </c>
      <c r="H58" s="169">
        <v>935</v>
      </c>
      <c r="I58" s="169">
        <v>823</v>
      </c>
      <c r="J58" s="169">
        <v>811</v>
      </c>
      <c r="K58" s="169">
        <v>-549</v>
      </c>
      <c r="L58" s="169">
        <v>80</v>
      </c>
      <c r="M58" s="169">
        <v>71</v>
      </c>
      <c r="N58" s="169">
        <v>66</v>
      </c>
      <c r="O58" s="169">
        <v>66</v>
      </c>
      <c r="P58" s="169"/>
      <c r="Q58" s="168">
        <v>261</v>
      </c>
      <c r="R58" s="168">
        <v>634</v>
      </c>
      <c r="S58" s="168">
        <v>844</v>
      </c>
      <c r="T58" s="5">
        <f t="shared" si="1"/>
        <v>3781</v>
      </c>
      <c r="U58" s="139">
        <f t="shared" si="2"/>
        <v>36.708737864077669</v>
      </c>
      <c r="V58">
        <f>VLOOKUP(B58,[2]Nelsa!$A:$AF,32,FALSE)</f>
        <v>0</v>
      </c>
      <c r="W58" s="139">
        <f t="shared" ref="W58" si="34">V58+U58</f>
        <v>36.708737864077669</v>
      </c>
    </row>
    <row r="59" spans="1:24" ht="27" customHeight="1" x14ac:dyDescent="0.25">
      <c r="A59" s="133" t="s">
        <v>89</v>
      </c>
      <c r="B59" s="133" t="s">
        <v>89</v>
      </c>
      <c r="C59" s="133" t="s">
        <v>326</v>
      </c>
      <c r="D59" s="133" t="s">
        <v>327</v>
      </c>
      <c r="E59" s="136" t="s">
        <v>92</v>
      </c>
      <c r="F59" s="136" t="s">
        <v>93</v>
      </c>
      <c r="G59" s="133" t="s">
        <v>328</v>
      </c>
      <c r="H59" s="169">
        <v>502</v>
      </c>
      <c r="I59" s="169">
        <v>441</v>
      </c>
      <c r="J59" s="169">
        <v>435</v>
      </c>
      <c r="K59" s="169">
        <v>317</v>
      </c>
      <c r="L59" s="169">
        <v>44</v>
      </c>
      <c r="M59" s="169">
        <v>40</v>
      </c>
      <c r="N59" s="169">
        <v>37</v>
      </c>
      <c r="O59" s="169">
        <v>-105</v>
      </c>
      <c r="P59" s="169"/>
      <c r="Q59" s="168"/>
      <c r="R59" s="168">
        <v>306</v>
      </c>
      <c r="S59" s="168">
        <v>452</v>
      </c>
      <c r="T59" s="5">
        <f t="shared" si="1"/>
        <v>2469</v>
      </c>
      <c r="U59" s="139">
        <f t="shared" si="2"/>
        <v>23.970873786407768</v>
      </c>
      <c r="V59">
        <f>VLOOKUP(B59,[2]Nelsa!$A:$AF,32,FALSE)</f>
        <v>0</v>
      </c>
      <c r="W59" s="139">
        <f t="shared" ref="W59" si="35">V59+U59</f>
        <v>23.970873786407768</v>
      </c>
    </row>
    <row r="60" spans="1:24" ht="27" customHeight="1" x14ac:dyDescent="0.25">
      <c r="A60" s="133" t="s">
        <v>216</v>
      </c>
      <c r="B60" s="133" t="s">
        <v>216</v>
      </c>
      <c r="C60" s="133" t="s">
        <v>405</v>
      </c>
      <c r="D60" s="133" t="s">
        <v>327</v>
      </c>
      <c r="E60" s="136" t="s">
        <v>92</v>
      </c>
      <c r="F60" s="136" t="s">
        <v>218</v>
      </c>
      <c r="G60" s="133" t="s">
        <v>406</v>
      </c>
      <c r="H60" s="169">
        <v>232</v>
      </c>
      <c r="I60" s="169">
        <v>204</v>
      </c>
      <c r="J60" s="169">
        <v>201</v>
      </c>
      <c r="K60" s="169">
        <v>97</v>
      </c>
      <c r="L60" s="169">
        <v>24</v>
      </c>
      <c r="M60" s="169">
        <v>22</v>
      </c>
      <c r="N60" s="169">
        <v>20</v>
      </c>
      <c r="O60" s="169">
        <v>19</v>
      </c>
      <c r="P60" s="169"/>
      <c r="Q60" s="168">
        <v>65</v>
      </c>
      <c r="R60" s="168">
        <v>157</v>
      </c>
      <c r="S60" s="168">
        <v>210</v>
      </c>
      <c r="T60" s="5">
        <f t="shared" si="1"/>
        <v>1186</v>
      </c>
      <c r="U60" s="139">
        <f t="shared" si="2"/>
        <v>11.514563106796116</v>
      </c>
      <c r="V60">
        <f>VLOOKUP(B60,[2]Nelsa!$A:$AF,32,FALSE)</f>
        <v>0</v>
      </c>
      <c r="W60" s="139">
        <f t="shared" ref="W60" si="36">V60+U60</f>
        <v>11.514563106796116</v>
      </c>
    </row>
    <row r="61" spans="1:24" ht="27" customHeight="1" x14ac:dyDescent="0.25">
      <c r="A61" s="133" t="s">
        <v>275</v>
      </c>
      <c r="B61" s="133" t="s">
        <v>275</v>
      </c>
      <c r="C61" s="133" t="s">
        <v>443</v>
      </c>
      <c r="D61" s="133" t="s">
        <v>327</v>
      </c>
      <c r="E61" s="136" t="s">
        <v>92</v>
      </c>
      <c r="F61" s="136" t="s">
        <v>277</v>
      </c>
      <c r="G61" s="133" t="s">
        <v>444</v>
      </c>
      <c r="H61" s="169">
        <v>3232</v>
      </c>
      <c r="I61" s="169">
        <v>2454</v>
      </c>
      <c r="J61" s="169">
        <v>2422</v>
      </c>
      <c r="K61" s="169">
        <v>715</v>
      </c>
      <c r="L61" s="169">
        <v>0</v>
      </c>
      <c r="M61" s="169">
        <v>0</v>
      </c>
      <c r="N61" s="169">
        <v>0</v>
      </c>
      <c r="O61" s="169">
        <v>0</v>
      </c>
      <c r="P61" s="169"/>
      <c r="Q61" s="168">
        <v>792</v>
      </c>
      <c r="R61" s="168">
        <v>2581</v>
      </c>
      <c r="S61" s="168">
        <v>3023</v>
      </c>
      <c r="T61" s="5">
        <f t="shared" si="1"/>
        <v>14427</v>
      </c>
      <c r="U61" s="139">
        <f t="shared" si="2"/>
        <v>140.06796116504853</v>
      </c>
      <c r="V61">
        <f>VLOOKUP(B61,[2]Nelsa!$A:$AF,32,FALSE)</f>
        <v>0</v>
      </c>
      <c r="W61" s="139">
        <f t="shared" ref="W61" si="37">V61+U61</f>
        <v>140.06796116504853</v>
      </c>
    </row>
    <row r="62" spans="1:24" ht="27" customHeight="1" x14ac:dyDescent="0.25">
      <c r="A62" s="133" t="s">
        <v>278</v>
      </c>
      <c r="B62" s="133" t="s">
        <v>278</v>
      </c>
      <c r="C62" s="133" t="s">
        <v>445</v>
      </c>
      <c r="D62" s="133" t="s">
        <v>327</v>
      </c>
      <c r="E62" s="136" t="s">
        <v>92</v>
      </c>
      <c r="F62" s="136" t="s">
        <v>280</v>
      </c>
      <c r="G62" s="133" t="s">
        <v>446</v>
      </c>
      <c r="H62" s="169">
        <v>7384</v>
      </c>
      <c r="I62" s="169">
        <v>6853</v>
      </c>
      <c r="J62" s="169">
        <v>6752</v>
      </c>
      <c r="K62" s="169">
        <v>-170</v>
      </c>
      <c r="L62" s="169">
        <v>0</v>
      </c>
      <c r="M62" s="169">
        <v>0</v>
      </c>
      <c r="N62" s="169">
        <v>2705</v>
      </c>
      <c r="O62" s="169">
        <v>37</v>
      </c>
      <c r="P62" s="169"/>
      <c r="Q62" s="168">
        <v>819</v>
      </c>
      <c r="R62" s="168">
        <v>6450</v>
      </c>
      <c r="S62" s="168">
        <v>8330</v>
      </c>
      <c r="T62" s="5">
        <f t="shared" si="1"/>
        <v>38341</v>
      </c>
      <c r="U62" s="139">
        <f t="shared" si="2"/>
        <v>372.24271844660194</v>
      </c>
      <c r="V62">
        <f>VLOOKUP(B62,[2]Nelsa!$A:$AF,32,FALSE)</f>
        <v>0</v>
      </c>
      <c r="W62" s="139">
        <f t="shared" ref="W62" si="38">V62+U62</f>
        <v>372.24271844660194</v>
      </c>
    </row>
    <row r="65" spans="8:21" x14ac:dyDescent="0.25">
      <c r="H65" s="172">
        <f t="shared" ref="H65:S65" si="39">SUM(H3:H64)</f>
        <v>383837</v>
      </c>
      <c r="I65" s="172">
        <f t="shared" si="39"/>
        <v>285507</v>
      </c>
      <c r="J65" s="172">
        <f t="shared" si="39"/>
        <v>211843</v>
      </c>
      <c r="K65" s="172">
        <f t="shared" si="39"/>
        <v>45136</v>
      </c>
      <c r="L65" s="172">
        <f t="shared" si="39"/>
        <v>31061</v>
      </c>
      <c r="M65" s="172">
        <f t="shared" si="39"/>
        <v>11181</v>
      </c>
      <c r="N65" s="172">
        <f t="shared" si="39"/>
        <v>17065</v>
      </c>
      <c r="O65" s="172">
        <f t="shared" si="39"/>
        <v>19129</v>
      </c>
      <c r="P65" s="172">
        <f t="shared" si="39"/>
        <v>0</v>
      </c>
      <c r="Q65" s="172">
        <f t="shared" si="39"/>
        <v>103936</v>
      </c>
      <c r="R65" s="172">
        <f t="shared" si="39"/>
        <v>255842</v>
      </c>
      <c r="S65" s="172">
        <f t="shared" si="39"/>
        <v>323834</v>
      </c>
      <c r="T65" s="139">
        <f>SUM(T3:T64)</f>
        <v>1584435</v>
      </c>
      <c r="U65" s="139">
        <f>T65/102</f>
        <v>15533.676470588236</v>
      </c>
    </row>
    <row r="67" spans="8:21" x14ac:dyDescent="0.25">
      <c r="H67" s="139">
        <f>H65/103</f>
        <v>3726.5728155339807</v>
      </c>
      <c r="I67" s="139">
        <f t="shared" ref="I67:S67" si="40">I65/103</f>
        <v>2771.9126213592235</v>
      </c>
      <c r="J67" s="139">
        <f t="shared" si="40"/>
        <v>2056.7281553398057</v>
      </c>
      <c r="K67" s="139">
        <f t="shared" si="40"/>
        <v>438.21359223300971</v>
      </c>
      <c r="L67" s="139">
        <f t="shared" si="40"/>
        <v>301.56310679611653</v>
      </c>
      <c r="M67" s="139">
        <f t="shared" si="40"/>
        <v>108.55339805825243</v>
      </c>
      <c r="N67" s="139">
        <f t="shared" si="40"/>
        <v>165.67961165048544</v>
      </c>
      <c r="O67" s="139">
        <f t="shared" si="40"/>
        <v>185.71844660194174</v>
      </c>
      <c r="Q67" s="139">
        <f t="shared" si="40"/>
        <v>1009.0873786407767</v>
      </c>
      <c r="R67" s="139">
        <f t="shared" si="40"/>
        <v>2483.9029126213591</v>
      </c>
      <c r="S67" s="139">
        <f t="shared" si="40"/>
        <v>3144.019417475728</v>
      </c>
      <c r="U67" s="139">
        <f>U65+Foglio3!N22</f>
        <v>18234.603072529982</v>
      </c>
    </row>
    <row r="69" spans="8:21" x14ac:dyDescent="0.25">
      <c r="J69" s="139">
        <f>SUM(H67:J67)</f>
        <v>8555.2135922330108</v>
      </c>
      <c r="M69" s="139">
        <f>SUM(K67:M67)</f>
        <v>848.3300970873787</v>
      </c>
      <c r="P69" s="139">
        <f>SUM(N67:P67)</f>
        <v>351.39805825242718</v>
      </c>
      <c r="S69" s="139">
        <f>SUM(Q67:S67)</f>
        <v>6637.0097087378635</v>
      </c>
      <c r="U69" s="139">
        <f>U67+1900</f>
        <v>20134.603072529982</v>
      </c>
    </row>
  </sheetData>
  <autoFilter ref="A2:X62" xr:uid="{CCBEB468-B1C2-475F-95CC-FF56975B7B2F}"/>
  <sortState xmlns:xlrd2="http://schemas.microsoft.com/office/spreadsheetml/2017/richdata2" ref="A3:S62">
    <sortCondition ref="A3:A62"/>
  </sortState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FC569-0A57-4EF1-830D-ECA39786465B}">
  <sheetPr codeName="Foglio12"/>
  <dimension ref="A1:AQ16"/>
  <sheetViews>
    <sheetView workbookViewId="0">
      <pane xSplit="10" ySplit="1" topLeftCell="K2" activePane="bottomRight" state="frozen"/>
      <selection activeCell="I75" sqref="I75"/>
      <selection pane="topRight" activeCell="I75" sqref="I75"/>
      <selection pane="bottomLeft" activeCell="I75" sqref="I75"/>
      <selection pane="bottomRight" activeCell="I75" sqref="I75"/>
    </sheetView>
  </sheetViews>
  <sheetFormatPr defaultRowHeight="15" x14ac:dyDescent="0.25"/>
  <cols>
    <col min="1" max="1" width="14.5703125" bestFit="1" customWidth="1"/>
    <col min="3" max="3" width="30.140625" customWidth="1"/>
    <col min="4" max="4" width="32.42578125" customWidth="1"/>
    <col min="5" max="8" width="17.140625" customWidth="1"/>
    <col min="9" max="9" width="20" customWidth="1"/>
    <col min="11" max="11" width="14.7109375" customWidth="1"/>
    <col min="14" max="14" width="9.42578125" bestFit="1" customWidth="1"/>
    <col min="17" max="17" width="9.42578125" bestFit="1" customWidth="1"/>
    <col min="20" max="20" width="10.28515625" bestFit="1" customWidth="1"/>
    <col min="23" max="23" width="10.28515625" bestFit="1" customWidth="1"/>
    <col min="26" max="26" width="10.28515625" bestFit="1" customWidth="1"/>
    <col min="29" max="29" width="9.42578125" bestFit="1" customWidth="1"/>
    <col min="32" max="32" width="11.42578125" customWidth="1"/>
    <col min="35" max="35" width="11.42578125" customWidth="1"/>
    <col min="38" max="39" width="10.42578125" bestFit="1" customWidth="1"/>
    <col min="41" max="42" width="13.140625" bestFit="1" customWidth="1"/>
    <col min="43" max="43" width="9.42578125" bestFit="1" customWidth="1"/>
  </cols>
  <sheetData>
    <row r="1" spans="1:43" ht="36" x14ac:dyDescent="0.25">
      <c r="A1" s="185" t="s">
        <v>453</v>
      </c>
      <c r="B1" s="185" t="s">
        <v>560</v>
      </c>
      <c r="C1" s="186" t="s">
        <v>561</v>
      </c>
      <c r="D1" s="185" t="s">
        <v>454</v>
      </c>
      <c r="E1" s="185" t="s">
        <v>562</v>
      </c>
      <c r="F1" s="185" t="s">
        <v>563</v>
      </c>
      <c r="G1" s="185" t="s">
        <v>564</v>
      </c>
      <c r="H1" s="185" t="s">
        <v>558</v>
      </c>
      <c r="I1" s="185" t="s">
        <v>565</v>
      </c>
      <c r="J1" s="185" t="s">
        <v>566</v>
      </c>
      <c r="K1" s="185" t="s">
        <v>567</v>
      </c>
      <c r="L1" s="185" t="s">
        <v>559</v>
      </c>
      <c r="M1" s="185" t="s">
        <v>568</v>
      </c>
      <c r="N1" s="185" t="s">
        <v>323</v>
      </c>
      <c r="O1" s="185" t="s">
        <v>559</v>
      </c>
      <c r="P1" s="185" t="s">
        <v>568</v>
      </c>
      <c r="Q1" s="185" t="s">
        <v>324</v>
      </c>
      <c r="R1" s="185" t="s">
        <v>559</v>
      </c>
      <c r="S1" s="185" t="s">
        <v>568</v>
      </c>
      <c r="T1" s="185" t="s">
        <v>325</v>
      </c>
      <c r="U1" s="185" t="s">
        <v>559</v>
      </c>
      <c r="V1" s="185" t="s">
        <v>568</v>
      </c>
      <c r="W1" s="185" t="s">
        <v>314</v>
      </c>
      <c r="X1" s="185" t="s">
        <v>559</v>
      </c>
      <c r="Y1" s="185" t="s">
        <v>568</v>
      </c>
      <c r="Z1" s="185" t="s">
        <v>315</v>
      </c>
      <c r="AA1" s="185" t="s">
        <v>559</v>
      </c>
      <c r="AB1" s="185" t="s">
        <v>568</v>
      </c>
      <c r="AC1" s="185" t="s">
        <v>316</v>
      </c>
      <c r="AD1" s="185" t="s">
        <v>559</v>
      </c>
      <c r="AE1" s="185" t="s">
        <v>568</v>
      </c>
      <c r="AF1" s="185" t="s">
        <v>569</v>
      </c>
      <c r="AG1" s="185" t="s">
        <v>559</v>
      </c>
      <c r="AH1" s="185" t="s">
        <v>568</v>
      </c>
      <c r="AI1" s="185" t="s">
        <v>608</v>
      </c>
      <c r="AJ1" s="185" t="s">
        <v>559</v>
      </c>
      <c r="AK1" s="185" t="s">
        <v>568</v>
      </c>
      <c r="AL1" s="185" t="s">
        <v>570</v>
      </c>
      <c r="AM1" s="185" t="s">
        <v>571</v>
      </c>
      <c r="AN1" s="185" t="s">
        <v>572</v>
      </c>
      <c r="AO1" s="185" t="s">
        <v>573</v>
      </c>
      <c r="AP1" s="185" t="s">
        <v>574</v>
      </c>
    </row>
    <row r="2" spans="1:43" ht="32.25" customHeight="1" x14ac:dyDescent="0.25">
      <c r="A2" s="187" t="s">
        <v>575</v>
      </c>
      <c r="B2" s="188">
        <v>85</v>
      </c>
      <c r="C2" s="188" t="s">
        <v>576</v>
      </c>
      <c r="D2" s="188" t="s">
        <v>577</v>
      </c>
      <c r="E2" s="189">
        <v>43738</v>
      </c>
      <c r="F2" s="190">
        <v>1925.7</v>
      </c>
      <c r="G2" s="189">
        <v>43616</v>
      </c>
      <c r="H2" s="190"/>
      <c r="I2" s="188"/>
      <c r="J2" s="191">
        <v>11720</v>
      </c>
      <c r="K2" s="192"/>
      <c r="L2" s="193"/>
      <c r="M2" s="194" t="str">
        <f>IF(ISERROR(K2/L2),"",(K2/L2))</f>
        <v/>
      </c>
      <c r="N2" s="192">
        <v>774.28</v>
      </c>
      <c r="O2" s="193">
        <v>4.9000000000000004</v>
      </c>
      <c r="P2" s="194">
        <f>IF(ISERROR(N2/O2),"",(N2/O2))</f>
        <v>158.01632653061222</v>
      </c>
      <c r="Q2" s="192">
        <v>1698.58</v>
      </c>
      <c r="R2" s="193">
        <v>20.2</v>
      </c>
      <c r="S2" s="194">
        <f>IF(ISERROR(Q2/R2),"",(Q2/R2))</f>
        <v>84.088118811881188</v>
      </c>
      <c r="T2" s="192"/>
      <c r="U2" s="193"/>
      <c r="V2" s="194" t="str">
        <f>IF(ISERROR(T2/U2),"",(T2/U2))</f>
        <v/>
      </c>
      <c r="W2" s="192">
        <v>3087.24</v>
      </c>
      <c r="X2" s="193">
        <v>35.799999999999997</v>
      </c>
      <c r="Y2" s="194">
        <f>IF(ISERROR(W2/X2),"",(W2/X2))</f>
        <v>86.235754189944132</v>
      </c>
      <c r="Z2" s="192">
        <v>2230.0700000000002</v>
      </c>
      <c r="AA2" s="193">
        <v>24.7</v>
      </c>
      <c r="AB2" s="194">
        <f>IF(ISERROR(Z2/AA2),"",(Z2/AA2))</f>
        <v>90.286234817813778</v>
      </c>
      <c r="AC2" s="192">
        <v>2160.58</v>
      </c>
      <c r="AD2" s="193">
        <v>23.8</v>
      </c>
      <c r="AE2" s="194">
        <f>IF(ISERROR(AC2/AD2),"",(AC2/AD2))</f>
        <v>90.780672268907551</v>
      </c>
      <c r="AF2" s="192">
        <v>509.59</v>
      </c>
      <c r="AG2" s="193">
        <v>7.9</v>
      </c>
      <c r="AH2" s="194">
        <f>IF(ISERROR(AF2/AG2),"",(AF2/AG2))</f>
        <v>64.505063291139237</v>
      </c>
      <c r="AI2" s="192">
        <v>323.24</v>
      </c>
      <c r="AJ2" s="193">
        <v>5.3</v>
      </c>
      <c r="AK2" s="194">
        <f t="shared" ref="AK2:AK11" si="0">AI2/AJ2</f>
        <v>60.988679245283024</v>
      </c>
      <c r="AL2" s="190">
        <v>138.88888888888889</v>
      </c>
      <c r="AM2" s="190">
        <f>(+X2+AA2+AD2+AG2+U2+R2+O2+L2+AJ2)*1.05</f>
        <v>128.73000000000002</v>
      </c>
      <c r="AN2" s="194"/>
      <c r="AO2" s="195">
        <f>AM2*AN2</f>
        <v>0</v>
      </c>
      <c r="AP2" s="196">
        <f>K2+N2+Q2+T2+W2+Z2+AC2+AF2</f>
        <v>10460.34</v>
      </c>
      <c r="AQ2" s="139"/>
    </row>
    <row r="3" spans="1:43" ht="32.25" customHeight="1" x14ac:dyDescent="0.25">
      <c r="A3" s="197" t="s">
        <v>578</v>
      </c>
      <c r="B3" s="198">
        <v>86</v>
      </c>
      <c r="C3" s="198" t="s">
        <v>579</v>
      </c>
      <c r="D3" s="198" t="s">
        <v>580</v>
      </c>
      <c r="E3" s="199">
        <v>43374</v>
      </c>
      <c r="F3" s="200">
        <v>577.79999999999995</v>
      </c>
      <c r="G3" s="199">
        <v>43616</v>
      </c>
      <c r="H3" s="200"/>
      <c r="I3" s="198"/>
      <c r="J3" s="201">
        <v>11114</v>
      </c>
      <c r="K3" s="202"/>
      <c r="L3" s="203"/>
      <c r="M3" s="204" t="str">
        <f t="shared" ref="M3:M11" si="1">IF(ISERROR(K3/L3),"",(K3/L3))</f>
        <v/>
      </c>
      <c r="N3" s="202">
        <v>379.18</v>
      </c>
      <c r="O3" s="203">
        <v>0</v>
      </c>
      <c r="P3" s="204" t="str">
        <f t="shared" ref="P3:P11" si="2">IF(ISERROR(N3/O3),"",(N3/O3))</f>
        <v/>
      </c>
      <c r="Q3" s="202">
        <v>2008.15</v>
      </c>
      <c r="R3" s="203">
        <v>19.100000000000001</v>
      </c>
      <c r="S3" s="204">
        <f t="shared" ref="S3:S11" si="3">IF(ISERROR(Q3/R3),"",(Q3/R3))</f>
        <v>105.13874345549738</v>
      </c>
      <c r="T3" s="202"/>
      <c r="U3" s="203"/>
      <c r="V3" s="204" t="str">
        <f t="shared" ref="V3:V11" si="4">IF(ISERROR(T3/U3),"",(T3/U3))</f>
        <v/>
      </c>
      <c r="W3" s="202">
        <v>4165.38</v>
      </c>
      <c r="X3" s="203">
        <v>44.1</v>
      </c>
      <c r="Y3" s="204">
        <f t="shared" ref="Y3:Y11" si="5">IF(ISERROR(W3/X3),"",(W3/X3))</f>
        <v>94.453061224489801</v>
      </c>
      <c r="Z3" s="202">
        <v>3024.21</v>
      </c>
      <c r="AA3" s="203">
        <v>30.8</v>
      </c>
      <c r="AB3" s="204">
        <f t="shared" ref="AB3:AB11" si="6">IF(ISERROR(Z3/AA3),"",(Z3/AA3))</f>
        <v>98.188636363636363</v>
      </c>
      <c r="AC3" s="202">
        <v>2226.25</v>
      </c>
      <c r="AD3" s="203">
        <v>21.5</v>
      </c>
      <c r="AE3" s="204">
        <f t="shared" ref="AE3:AE11" si="7">IF(ISERROR(AC3/AD3),"",(AC3/AD3))</f>
        <v>103.54651162790698</v>
      </c>
      <c r="AF3" s="202"/>
      <c r="AG3" s="203"/>
      <c r="AH3" s="204" t="str">
        <f t="shared" ref="AH3:AH11" si="8">IF(ISERROR(AF3/AG3),"",(AF3/AG3))</f>
        <v/>
      </c>
      <c r="AI3" s="202"/>
      <c r="AJ3" s="203"/>
      <c r="AK3" s="204" t="e">
        <f t="shared" si="0"/>
        <v>#DIV/0!</v>
      </c>
      <c r="AL3" s="200">
        <v>202.77777777777777</v>
      </c>
      <c r="AM3" s="200">
        <f t="shared" ref="AM3:AM11" si="9">(+X3+AA3+AD3+AG3+U3+R3+O3+L3+AJ3)*1.05</f>
        <v>121.27500000000001</v>
      </c>
      <c r="AN3" s="204"/>
      <c r="AO3" s="205">
        <f t="shared" ref="AO3:AO11" si="10">AM3*AN3</f>
        <v>0</v>
      </c>
      <c r="AP3" s="206">
        <f t="shared" ref="AP3:AP11" si="11">K3+N3+Q3+T3+W3+Z3+AC3+AF3</f>
        <v>11803.17</v>
      </c>
    </row>
    <row r="4" spans="1:43" ht="32.25" customHeight="1" x14ac:dyDescent="0.25">
      <c r="A4" s="197" t="s">
        <v>581</v>
      </c>
      <c r="B4" s="198">
        <v>87</v>
      </c>
      <c r="C4" s="198" t="s">
        <v>582</v>
      </c>
      <c r="D4" s="198" t="s">
        <v>583</v>
      </c>
      <c r="E4" s="199">
        <v>43252</v>
      </c>
      <c r="F4" s="200">
        <v>1002</v>
      </c>
      <c r="G4" s="199">
        <v>43616</v>
      </c>
      <c r="H4" s="200"/>
      <c r="I4" s="198"/>
      <c r="J4" s="201">
        <v>11316</v>
      </c>
      <c r="K4" s="202"/>
      <c r="L4" s="203"/>
      <c r="M4" s="204" t="str">
        <f t="shared" si="1"/>
        <v/>
      </c>
      <c r="N4" s="202">
        <v>1088.01</v>
      </c>
      <c r="O4" s="203">
        <v>4.4000000000000004</v>
      </c>
      <c r="P4" s="204">
        <f t="shared" si="2"/>
        <v>247.27499999999998</v>
      </c>
      <c r="Q4" s="202">
        <v>1424.24</v>
      </c>
      <c r="R4" s="203">
        <v>12.4</v>
      </c>
      <c r="S4" s="204">
        <f t="shared" si="3"/>
        <v>114.85806451612903</v>
      </c>
      <c r="T4" s="202"/>
      <c r="U4" s="203"/>
      <c r="V4" s="204" t="str">
        <f t="shared" si="4"/>
        <v/>
      </c>
      <c r="W4" s="202">
        <v>1865.5</v>
      </c>
      <c r="X4" s="203">
        <v>15.8</v>
      </c>
      <c r="Y4" s="204">
        <f t="shared" si="5"/>
        <v>118.06962025316456</v>
      </c>
      <c r="Z4" s="202">
        <v>1657.01</v>
      </c>
      <c r="AA4" s="203">
        <v>13.1</v>
      </c>
      <c r="AB4" s="204">
        <f t="shared" si="6"/>
        <v>126.48931297709925</v>
      </c>
      <c r="AC4" s="202">
        <v>1657.01</v>
      </c>
      <c r="AD4" s="203">
        <v>13.1</v>
      </c>
      <c r="AE4" s="204">
        <f t="shared" si="7"/>
        <v>126.48931297709925</v>
      </c>
      <c r="AF4" s="202">
        <v>258.02</v>
      </c>
      <c r="AG4" s="203">
        <v>4</v>
      </c>
      <c r="AH4" s="204">
        <f t="shared" si="8"/>
        <v>64.504999999999995</v>
      </c>
      <c r="AI4" s="202">
        <v>141.79</v>
      </c>
      <c r="AJ4" s="203">
        <v>2.2999999999999998</v>
      </c>
      <c r="AK4" s="204">
        <f t="shared" si="0"/>
        <v>61.64782608695652</v>
      </c>
      <c r="AL4" s="200">
        <v>125</v>
      </c>
      <c r="AM4" s="200">
        <f t="shared" si="9"/>
        <v>68.355000000000004</v>
      </c>
      <c r="AN4" s="204"/>
      <c r="AO4" s="205">
        <f t="shared" si="10"/>
        <v>0</v>
      </c>
      <c r="AP4" s="206">
        <f t="shared" si="11"/>
        <v>7949.7900000000009</v>
      </c>
      <c r="AQ4" s="139"/>
    </row>
    <row r="5" spans="1:43" ht="32.25" customHeight="1" x14ac:dyDescent="0.25">
      <c r="A5" s="197" t="s">
        <v>584</v>
      </c>
      <c r="B5" s="198">
        <v>88</v>
      </c>
      <c r="C5" s="198" t="s">
        <v>585</v>
      </c>
      <c r="D5" s="198" t="s">
        <v>586</v>
      </c>
      <c r="E5" s="199">
        <v>43738</v>
      </c>
      <c r="F5" s="200">
        <v>3670.9</v>
      </c>
      <c r="G5" s="199">
        <v>43616</v>
      </c>
      <c r="H5" s="200"/>
      <c r="I5" s="198"/>
      <c r="J5" s="201">
        <v>10912</v>
      </c>
      <c r="K5" s="202"/>
      <c r="L5" s="203"/>
      <c r="M5" s="204" t="str">
        <f t="shared" si="1"/>
        <v/>
      </c>
      <c r="N5" s="202">
        <v>1119.08</v>
      </c>
      <c r="O5" s="203">
        <v>5.6</v>
      </c>
      <c r="P5" s="204">
        <f t="shared" si="2"/>
        <v>199.83571428571429</v>
      </c>
      <c r="Q5" s="202">
        <v>2269.23</v>
      </c>
      <c r="R5" s="203">
        <v>23.5</v>
      </c>
      <c r="S5" s="204">
        <f t="shared" si="3"/>
        <v>96.562978723404257</v>
      </c>
      <c r="T5" s="202"/>
      <c r="U5" s="203"/>
      <c r="V5" s="204" t="str">
        <f t="shared" si="4"/>
        <v/>
      </c>
      <c r="W5" s="202">
        <v>2920.69</v>
      </c>
      <c r="X5" s="203">
        <v>30.3</v>
      </c>
      <c r="Y5" s="204">
        <f t="shared" si="5"/>
        <v>96.392409240924096</v>
      </c>
      <c r="Z5" s="202">
        <v>2349.2399999999998</v>
      </c>
      <c r="AA5" s="203">
        <v>22.9</v>
      </c>
      <c r="AB5" s="204">
        <f t="shared" si="6"/>
        <v>102.58689956331878</v>
      </c>
      <c r="AC5" s="202">
        <v>2156.1799999999998</v>
      </c>
      <c r="AD5" s="203">
        <v>20.399999999999999</v>
      </c>
      <c r="AE5" s="204">
        <f t="shared" si="7"/>
        <v>105.69509803921568</v>
      </c>
      <c r="AF5" s="202">
        <v>612.79</v>
      </c>
      <c r="AG5" s="203">
        <v>9.5</v>
      </c>
      <c r="AH5" s="204">
        <f t="shared" si="8"/>
        <v>64.504210526315788</v>
      </c>
      <c r="AI5" s="202"/>
      <c r="AJ5" s="203"/>
      <c r="AK5" s="204" t="e">
        <f t="shared" si="0"/>
        <v>#DIV/0!</v>
      </c>
      <c r="AL5" s="200">
        <v>244.44444444444443</v>
      </c>
      <c r="AM5" s="200">
        <f t="shared" si="9"/>
        <v>117.80999999999999</v>
      </c>
      <c r="AN5" s="204"/>
      <c r="AO5" s="205">
        <f t="shared" si="10"/>
        <v>0</v>
      </c>
      <c r="AP5" s="206">
        <f t="shared" si="11"/>
        <v>11427.21</v>
      </c>
      <c r="AQ5" s="139"/>
    </row>
    <row r="6" spans="1:43" ht="32.25" customHeight="1" x14ac:dyDescent="0.25">
      <c r="A6" s="197" t="s">
        <v>587</v>
      </c>
      <c r="B6" s="198">
        <v>89</v>
      </c>
      <c r="C6" s="198" t="s">
        <v>588</v>
      </c>
      <c r="D6" s="198" t="s">
        <v>589</v>
      </c>
      <c r="E6" s="199">
        <v>43738</v>
      </c>
      <c r="F6" s="200">
        <v>715.9</v>
      </c>
      <c r="G6" s="199">
        <v>43616</v>
      </c>
      <c r="H6" s="200"/>
      <c r="I6" s="198"/>
      <c r="J6" s="201">
        <v>11518</v>
      </c>
      <c r="K6" s="202"/>
      <c r="L6" s="203"/>
      <c r="M6" s="204" t="str">
        <f t="shared" si="1"/>
        <v/>
      </c>
      <c r="N6" s="202">
        <v>3150.72</v>
      </c>
      <c r="O6" s="203">
        <v>21.9</v>
      </c>
      <c r="P6" s="204">
        <f t="shared" si="2"/>
        <v>143.86849315068494</v>
      </c>
      <c r="Q6" s="202">
        <v>4325.9399999999996</v>
      </c>
      <c r="R6" s="203">
        <v>48.4</v>
      </c>
      <c r="S6" s="204">
        <f t="shared" si="3"/>
        <v>89.378925619834703</v>
      </c>
      <c r="T6" s="202"/>
      <c r="U6" s="203"/>
      <c r="V6" s="204" t="str">
        <f t="shared" si="4"/>
        <v/>
      </c>
      <c r="W6" s="202">
        <v>5810.47</v>
      </c>
      <c r="X6" s="203">
        <v>60.2</v>
      </c>
      <c r="Y6" s="204">
        <f t="shared" si="5"/>
        <v>96.519435215946842</v>
      </c>
      <c r="Z6" s="202">
        <v>4667.59</v>
      </c>
      <c r="AA6" s="203">
        <v>45.4</v>
      </c>
      <c r="AB6" s="204">
        <f t="shared" si="6"/>
        <v>102.8103524229075</v>
      </c>
      <c r="AC6" s="202">
        <v>4459.09</v>
      </c>
      <c r="AD6" s="203">
        <v>42.7</v>
      </c>
      <c r="AE6" s="204">
        <f t="shared" si="7"/>
        <v>104.42833723653395</v>
      </c>
      <c r="AF6" s="202">
        <v>2347.9899999999998</v>
      </c>
      <c r="AG6" s="203">
        <v>36.4</v>
      </c>
      <c r="AH6" s="204">
        <f t="shared" si="8"/>
        <v>64.505219780219775</v>
      </c>
      <c r="AI6" s="202">
        <v>1627.36</v>
      </c>
      <c r="AJ6" s="203">
        <v>26.8</v>
      </c>
      <c r="AK6" s="204">
        <f t="shared" si="0"/>
        <v>60.722388059701487</v>
      </c>
      <c r="AL6" s="200">
        <v>447.22222222222223</v>
      </c>
      <c r="AM6" s="200">
        <f t="shared" si="9"/>
        <v>295.89000000000004</v>
      </c>
      <c r="AN6" s="204"/>
      <c r="AO6" s="205">
        <f t="shared" si="10"/>
        <v>0</v>
      </c>
      <c r="AP6" s="206">
        <f t="shared" si="11"/>
        <v>24761.800000000003</v>
      </c>
      <c r="AQ6" s="139"/>
    </row>
    <row r="7" spans="1:43" ht="32.25" customHeight="1" x14ac:dyDescent="0.25">
      <c r="A7" s="197" t="s">
        <v>590</v>
      </c>
      <c r="B7" s="198">
        <v>90</v>
      </c>
      <c r="C7" s="198" t="s">
        <v>591</v>
      </c>
      <c r="D7" s="198" t="s">
        <v>592</v>
      </c>
      <c r="E7" s="199">
        <v>43738</v>
      </c>
      <c r="F7" s="200">
        <v>3078.5</v>
      </c>
      <c r="G7" s="199">
        <v>43616</v>
      </c>
      <c r="H7" s="200"/>
      <c r="I7" s="198"/>
      <c r="J7" s="201">
        <v>11215</v>
      </c>
      <c r="K7" s="202"/>
      <c r="L7" s="203"/>
      <c r="M7" s="204" t="str">
        <f t="shared" si="1"/>
        <v/>
      </c>
      <c r="N7" s="202">
        <v>919.87</v>
      </c>
      <c r="O7" s="203">
        <v>4.0999999999999996</v>
      </c>
      <c r="P7" s="204">
        <f t="shared" si="2"/>
        <v>224.35853658536587</v>
      </c>
      <c r="Q7" s="202">
        <v>1334.61</v>
      </c>
      <c r="R7" s="203">
        <v>11.9</v>
      </c>
      <c r="S7" s="204">
        <f t="shared" si="3"/>
        <v>112.15210084033612</v>
      </c>
      <c r="T7" s="202">
        <v>1649.2</v>
      </c>
      <c r="U7" s="203">
        <v>14.8</v>
      </c>
      <c r="V7" s="204">
        <f t="shared" si="4"/>
        <v>111.43243243243244</v>
      </c>
      <c r="W7" s="202">
        <v>1697.81</v>
      </c>
      <c r="X7" s="203">
        <v>15.3</v>
      </c>
      <c r="Y7" s="204">
        <f t="shared" si="5"/>
        <v>110.96797385620914</v>
      </c>
      <c r="Z7" s="202">
        <v>1450.71</v>
      </c>
      <c r="AA7" s="203">
        <v>12.1</v>
      </c>
      <c r="AB7" s="204">
        <f t="shared" si="6"/>
        <v>119.89338842975208</v>
      </c>
      <c r="AC7" s="202">
        <v>1342.59</v>
      </c>
      <c r="AD7" s="203">
        <v>10.7</v>
      </c>
      <c r="AE7" s="204">
        <f t="shared" si="7"/>
        <v>125.47570093457944</v>
      </c>
      <c r="AF7" s="202">
        <v>251.57</v>
      </c>
      <c r="AG7" s="203">
        <v>3.9</v>
      </c>
      <c r="AH7" s="204">
        <f t="shared" si="8"/>
        <v>64.505128205128202</v>
      </c>
      <c r="AI7" s="202"/>
      <c r="AJ7" s="203"/>
      <c r="AK7" s="204" t="e">
        <f t="shared" si="0"/>
        <v>#DIV/0!</v>
      </c>
      <c r="AL7" s="200">
        <v>216.66666666666666</v>
      </c>
      <c r="AM7" s="200">
        <f t="shared" si="9"/>
        <v>76.44</v>
      </c>
      <c r="AN7" s="204"/>
      <c r="AO7" s="205">
        <f t="shared" si="10"/>
        <v>0</v>
      </c>
      <c r="AP7" s="206">
        <f t="shared" si="11"/>
        <v>8646.3599999999988</v>
      </c>
      <c r="AQ7" s="139"/>
    </row>
    <row r="8" spans="1:43" ht="32.25" customHeight="1" x14ac:dyDescent="0.25">
      <c r="A8" s="197" t="s">
        <v>593</v>
      </c>
      <c r="B8" s="198">
        <v>91</v>
      </c>
      <c r="C8" s="198" t="s">
        <v>594</v>
      </c>
      <c r="D8" s="198" t="s">
        <v>595</v>
      </c>
      <c r="E8" s="199">
        <v>43252</v>
      </c>
      <c r="F8" s="200">
        <v>7699.9</v>
      </c>
      <c r="G8" s="199">
        <v>43616</v>
      </c>
      <c r="H8" s="200"/>
      <c r="I8" s="198"/>
      <c r="J8" s="201">
        <v>11417</v>
      </c>
      <c r="K8" s="202"/>
      <c r="L8" s="203"/>
      <c r="M8" s="204" t="str">
        <f t="shared" si="1"/>
        <v/>
      </c>
      <c r="N8" s="202">
        <v>2511.0700000000002</v>
      </c>
      <c r="O8" s="203">
        <v>14.4</v>
      </c>
      <c r="P8" s="204">
        <f t="shared" si="2"/>
        <v>174.37986111111113</v>
      </c>
      <c r="Q8" s="202">
        <v>3988.65</v>
      </c>
      <c r="R8" s="203">
        <v>41.9</v>
      </c>
      <c r="S8" s="204">
        <f t="shared" si="3"/>
        <v>95.19451073985681</v>
      </c>
      <c r="T8" s="202"/>
      <c r="U8" s="203"/>
      <c r="V8" s="204" t="str">
        <f t="shared" si="4"/>
        <v/>
      </c>
      <c r="W8" s="202">
        <v>6381.92</v>
      </c>
      <c r="X8" s="203">
        <v>67.599999999999994</v>
      </c>
      <c r="Y8" s="204">
        <f t="shared" si="5"/>
        <v>94.407100591715988</v>
      </c>
      <c r="Z8" s="202">
        <v>5022.8100000000004</v>
      </c>
      <c r="AA8" s="203">
        <v>50</v>
      </c>
      <c r="AB8" s="204">
        <f t="shared" si="6"/>
        <v>100.45620000000001</v>
      </c>
      <c r="AC8" s="202">
        <v>3316.2</v>
      </c>
      <c r="AD8" s="203">
        <v>27.9</v>
      </c>
      <c r="AE8" s="204">
        <f t="shared" si="7"/>
        <v>118.86021505376344</v>
      </c>
      <c r="AF8" s="202">
        <v>70.959999999999994</v>
      </c>
      <c r="AG8" s="203">
        <v>1.1000000000000001</v>
      </c>
      <c r="AH8" s="204">
        <f t="shared" si="8"/>
        <v>64.509090909090901</v>
      </c>
      <c r="AI8" s="202"/>
      <c r="AJ8" s="203"/>
      <c r="AK8" s="204" t="e">
        <f t="shared" si="0"/>
        <v>#DIV/0!</v>
      </c>
      <c r="AL8" s="200">
        <v>400</v>
      </c>
      <c r="AM8" s="200">
        <f t="shared" si="9"/>
        <v>213.04500000000002</v>
      </c>
      <c r="AN8" s="204"/>
      <c r="AO8" s="205">
        <f t="shared" si="10"/>
        <v>0</v>
      </c>
      <c r="AP8" s="206">
        <f t="shared" si="11"/>
        <v>21291.61</v>
      </c>
      <c r="AQ8" s="139"/>
    </row>
    <row r="9" spans="1:43" ht="32.25" customHeight="1" x14ac:dyDescent="0.25">
      <c r="A9" s="197" t="s">
        <v>596</v>
      </c>
      <c r="B9" s="198">
        <v>92</v>
      </c>
      <c r="C9" s="198" t="s">
        <v>597</v>
      </c>
      <c r="D9" s="198" t="s">
        <v>598</v>
      </c>
      <c r="E9" s="199">
        <v>43738</v>
      </c>
      <c r="F9" s="200">
        <v>148.19999999999999</v>
      </c>
      <c r="G9" s="199">
        <v>43616</v>
      </c>
      <c r="H9" s="200"/>
      <c r="I9" s="198"/>
      <c r="J9" s="201">
        <v>10811</v>
      </c>
      <c r="K9" s="202"/>
      <c r="L9" s="203"/>
      <c r="M9" s="204" t="str">
        <f t="shared" si="1"/>
        <v/>
      </c>
      <c r="N9" s="202">
        <v>583.6</v>
      </c>
      <c r="O9" s="203">
        <v>3.5</v>
      </c>
      <c r="P9" s="204">
        <f t="shared" si="2"/>
        <v>166.74285714285716</v>
      </c>
      <c r="Q9" s="202">
        <v>1282.72</v>
      </c>
      <c r="R9" s="203">
        <v>14.5</v>
      </c>
      <c r="S9" s="204">
        <f t="shared" si="3"/>
        <v>88.463448275862078</v>
      </c>
      <c r="T9" s="202">
        <v>2022.01</v>
      </c>
      <c r="U9" s="203">
        <v>23</v>
      </c>
      <c r="V9" s="204">
        <f t="shared" si="4"/>
        <v>87.913478260869567</v>
      </c>
      <c r="W9" s="202">
        <v>2652.04</v>
      </c>
      <c r="X9" s="203">
        <v>31</v>
      </c>
      <c r="Y9" s="204">
        <f t="shared" si="5"/>
        <v>85.549677419354836</v>
      </c>
      <c r="Z9" s="202">
        <v>2165.5300000000002</v>
      </c>
      <c r="AA9" s="203">
        <v>24.7</v>
      </c>
      <c r="AB9" s="204">
        <f t="shared" si="6"/>
        <v>87.673279352226729</v>
      </c>
      <c r="AC9" s="202">
        <v>1663.6</v>
      </c>
      <c r="AD9" s="203">
        <v>18.2</v>
      </c>
      <c r="AE9" s="204">
        <f t="shared" si="7"/>
        <v>91.406593406593402</v>
      </c>
      <c r="AF9" s="202">
        <v>19.350000000000001</v>
      </c>
      <c r="AG9" s="203">
        <v>0.3</v>
      </c>
      <c r="AH9" s="204">
        <f t="shared" si="8"/>
        <v>64.500000000000014</v>
      </c>
      <c r="AI9" s="202">
        <v>64.5</v>
      </c>
      <c r="AJ9" s="203">
        <v>1</v>
      </c>
      <c r="AK9" s="204">
        <f t="shared" si="0"/>
        <v>64.5</v>
      </c>
      <c r="AL9" s="200">
        <v>137.5</v>
      </c>
      <c r="AM9" s="200">
        <f t="shared" si="9"/>
        <v>122.01</v>
      </c>
      <c r="AN9" s="204"/>
      <c r="AO9" s="205">
        <f t="shared" si="10"/>
        <v>0</v>
      </c>
      <c r="AP9" s="206">
        <f t="shared" si="11"/>
        <v>10388.85</v>
      </c>
      <c r="AQ9" s="139"/>
    </row>
    <row r="10" spans="1:43" ht="32.25" customHeight="1" x14ac:dyDescent="0.25">
      <c r="A10" s="197" t="s">
        <v>599</v>
      </c>
      <c r="B10" s="198">
        <v>93</v>
      </c>
      <c r="C10" s="198" t="s">
        <v>600</v>
      </c>
      <c r="D10" s="198" t="s">
        <v>601</v>
      </c>
      <c r="E10" s="199">
        <v>43738</v>
      </c>
      <c r="F10" s="200">
        <v>11205.3</v>
      </c>
      <c r="G10" s="199">
        <v>43616</v>
      </c>
      <c r="H10" s="200"/>
      <c r="I10" s="198"/>
      <c r="J10" s="201">
        <v>11619</v>
      </c>
      <c r="K10" s="202"/>
      <c r="L10" s="203"/>
      <c r="M10" s="204" t="str">
        <f t="shared" si="1"/>
        <v/>
      </c>
      <c r="N10" s="202">
        <v>5893.28</v>
      </c>
      <c r="O10" s="203">
        <v>45.7</v>
      </c>
      <c r="P10" s="204">
        <f t="shared" si="2"/>
        <v>128.9557986870897</v>
      </c>
      <c r="Q10" s="202">
        <v>7002</v>
      </c>
      <c r="R10" s="203">
        <v>75.5</v>
      </c>
      <c r="S10" s="204">
        <f t="shared" si="3"/>
        <v>92.741721854304629</v>
      </c>
      <c r="T10" s="202">
        <v>8381.93</v>
      </c>
      <c r="U10" s="203">
        <v>85.8</v>
      </c>
      <c r="V10" s="204">
        <f t="shared" si="4"/>
        <v>97.691491841491853</v>
      </c>
      <c r="W10" s="202">
        <v>9413.48</v>
      </c>
      <c r="X10" s="203">
        <v>98.5</v>
      </c>
      <c r="Y10" s="204">
        <f t="shared" si="5"/>
        <v>95.568324873096444</v>
      </c>
      <c r="Z10" s="202">
        <v>7166.31</v>
      </c>
      <c r="AA10" s="203">
        <v>69.400000000000006</v>
      </c>
      <c r="AB10" s="204">
        <f t="shared" si="6"/>
        <v>103.26095100864553</v>
      </c>
      <c r="AC10" s="202">
        <v>7791.81</v>
      </c>
      <c r="AD10" s="203">
        <v>77.55</v>
      </c>
      <c r="AE10" s="204">
        <f t="shared" si="7"/>
        <v>100.47466150870407</v>
      </c>
      <c r="AF10" s="202">
        <v>1406.21</v>
      </c>
      <c r="AG10" s="203">
        <v>21.8</v>
      </c>
      <c r="AH10" s="204">
        <f t="shared" si="8"/>
        <v>64.505045871559631</v>
      </c>
      <c r="AI10" s="202"/>
      <c r="AJ10" s="203"/>
      <c r="AK10" s="204" t="e">
        <f t="shared" si="0"/>
        <v>#DIV/0!</v>
      </c>
      <c r="AL10" s="200">
        <v>615.27777777777771</v>
      </c>
      <c r="AM10" s="200">
        <f t="shared" si="9"/>
        <v>497.96250000000003</v>
      </c>
      <c r="AN10" s="204"/>
      <c r="AO10" s="205">
        <f t="shared" si="10"/>
        <v>0</v>
      </c>
      <c r="AP10" s="206">
        <f t="shared" si="11"/>
        <v>47055.02</v>
      </c>
      <c r="AQ10" s="139"/>
    </row>
    <row r="11" spans="1:43" ht="32.25" customHeight="1" x14ac:dyDescent="0.25">
      <c r="A11" s="197" t="s">
        <v>602</v>
      </c>
      <c r="B11" s="198">
        <v>94</v>
      </c>
      <c r="C11" s="198" t="s">
        <v>603</v>
      </c>
      <c r="D11" s="198" t="s">
        <v>604</v>
      </c>
      <c r="E11" s="199">
        <v>43374</v>
      </c>
      <c r="F11" s="200">
        <v>1827.7</v>
      </c>
      <c r="G11" s="199">
        <v>43616</v>
      </c>
      <c r="H11" s="200"/>
      <c r="I11" s="198"/>
      <c r="J11" s="201">
        <v>11013</v>
      </c>
      <c r="K11" s="202"/>
      <c r="L11" s="203"/>
      <c r="M11" s="204" t="str">
        <f t="shared" si="1"/>
        <v/>
      </c>
      <c r="N11" s="202">
        <v>3276.75</v>
      </c>
      <c r="O11" s="203">
        <v>31.2</v>
      </c>
      <c r="P11" s="204">
        <f t="shared" si="2"/>
        <v>105.02403846153847</v>
      </c>
      <c r="Q11" s="202">
        <v>1623.55</v>
      </c>
      <c r="R11" s="203">
        <v>18.2</v>
      </c>
      <c r="S11" s="204">
        <f t="shared" si="3"/>
        <v>89.206043956043956</v>
      </c>
      <c r="T11" s="202"/>
      <c r="U11" s="203"/>
      <c r="V11" s="204" t="str">
        <f t="shared" si="4"/>
        <v/>
      </c>
      <c r="W11" s="202">
        <v>2434.11</v>
      </c>
      <c r="X11" s="203">
        <v>24.3</v>
      </c>
      <c r="Y11" s="204">
        <f t="shared" si="5"/>
        <v>100.16913580246914</v>
      </c>
      <c r="Z11" s="202">
        <v>2318.2800000000002</v>
      </c>
      <c r="AA11" s="203">
        <v>22.8</v>
      </c>
      <c r="AB11" s="204">
        <f t="shared" si="6"/>
        <v>101.67894736842106</v>
      </c>
      <c r="AC11" s="202">
        <v>704.34</v>
      </c>
      <c r="AD11" s="203">
        <v>1.9</v>
      </c>
      <c r="AE11" s="204">
        <f t="shared" si="7"/>
        <v>370.70526315789476</v>
      </c>
      <c r="AF11" s="202">
        <v>2818.87</v>
      </c>
      <c r="AG11" s="203">
        <v>43.7</v>
      </c>
      <c r="AH11" s="204">
        <f t="shared" si="8"/>
        <v>64.505034324942784</v>
      </c>
      <c r="AI11" s="202"/>
      <c r="AJ11" s="203"/>
      <c r="AK11" s="204" t="e">
        <f t="shared" si="0"/>
        <v>#DIV/0!</v>
      </c>
      <c r="AL11" s="200">
        <v>194.44444444444443</v>
      </c>
      <c r="AM11" s="200">
        <f t="shared" si="9"/>
        <v>149.20500000000001</v>
      </c>
      <c r="AN11" s="204"/>
      <c r="AO11" s="205">
        <f t="shared" si="10"/>
        <v>0</v>
      </c>
      <c r="AP11" s="206">
        <f t="shared" si="11"/>
        <v>13175.900000000001</v>
      </c>
      <c r="AQ11" s="139"/>
    </row>
    <row r="12" spans="1:43" ht="32.25" customHeight="1" x14ac:dyDescent="0.25">
      <c r="A12" s="207" t="s">
        <v>605</v>
      </c>
      <c r="B12" s="208">
        <v>95</v>
      </c>
      <c r="C12" s="208" t="s">
        <v>606</v>
      </c>
      <c r="D12" s="208" t="s">
        <v>607</v>
      </c>
      <c r="E12" s="208"/>
      <c r="F12" s="208"/>
      <c r="G12" s="208"/>
      <c r="H12" s="208"/>
      <c r="I12" s="208"/>
      <c r="J12" s="209"/>
      <c r="K12" s="210"/>
      <c r="L12" s="211"/>
      <c r="M12" s="212"/>
      <c r="N12" s="210"/>
      <c r="O12" s="211"/>
      <c r="P12" s="212"/>
      <c r="Q12" s="210"/>
      <c r="R12" s="211"/>
      <c r="S12" s="212"/>
      <c r="T12" s="210"/>
      <c r="U12" s="211"/>
      <c r="V12" s="212"/>
      <c r="W12" s="210"/>
      <c r="X12" s="211"/>
      <c r="Y12" s="212"/>
      <c r="Z12" s="210"/>
      <c r="AA12" s="211"/>
      <c r="AB12" s="212"/>
      <c r="AC12" s="213"/>
      <c r="AD12" s="208"/>
      <c r="AE12" s="212"/>
      <c r="AF12" s="213"/>
      <c r="AG12" s="208"/>
      <c r="AH12" s="208"/>
      <c r="AI12" s="213"/>
      <c r="AJ12" s="208"/>
      <c r="AK12" s="208"/>
      <c r="AL12" s="208"/>
      <c r="AM12" s="208"/>
      <c r="AN12" s="208"/>
      <c r="AO12" s="214"/>
      <c r="AP12" s="215"/>
    </row>
    <row r="14" spans="1:43" x14ac:dyDescent="0.25">
      <c r="I14" s="216">
        <f>SUM(I2:I13)</f>
        <v>0</v>
      </c>
      <c r="J14" s="216"/>
      <c r="K14" s="216">
        <f>SUM(K2:K13)</f>
        <v>0</v>
      </c>
      <c r="L14" s="216">
        <f>SUM(L2:L13)</f>
        <v>0</v>
      </c>
      <c r="M14" s="216"/>
      <c r="N14" s="216">
        <f>SUM(N2:N13)</f>
        <v>19695.84</v>
      </c>
      <c r="O14" s="216">
        <f>SUM(O2:O13)</f>
        <v>135.69999999999999</v>
      </c>
      <c r="P14" s="216"/>
      <c r="Q14" s="216">
        <f>SUM(Q2:Q13)</f>
        <v>26957.670000000002</v>
      </c>
      <c r="R14" s="216">
        <f>SUM(R2:R13)</f>
        <v>285.59999999999997</v>
      </c>
      <c r="S14" s="216"/>
      <c r="T14" s="216">
        <f>SUM(T2:T13)</f>
        <v>12053.14</v>
      </c>
      <c r="U14" s="216">
        <f>SUM(U2:U13)</f>
        <v>123.6</v>
      </c>
      <c r="V14" s="216"/>
      <c r="W14" s="216">
        <f>SUM(W2:W13)</f>
        <v>40428.639999999999</v>
      </c>
      <c r="X14" s="216">
        <f>SUM(X2:X13)</f>
        <v>422.90000000000003</v>
      </c>
      <c r="Y14" s="216"/>
      <c r="Z14" s="216">
        <f>SUM(Z2:Z13)</f>
        <v>32051.760000000002</v>
      </c>
      <c r="AA14" s="216">
        <f>SUM(AA2:AA13)</f>
        <v>315.90000000000003</v>
      </c>
      <c r="AB14" s="216"/>
      <c r="AC14" s="216">
        <f>SUM(AC2:AC13)</f>
        <v>27477.65</v>
      </c>
      <c r="AD14" s="216">
        <f>SUM(AD2:AD13)</f>
        <v>257.74999999999994</v>
      </c>
      <c r="AE14" s="216"/>
      <c r="AF14" s="216">
        <f>SUM(AF2:AF13)</f>
        <v>8295.3499999999985</v>
      </c>
      <c r="AG14" s="216"/>
      <c r="AH14" s="216"/>
      <c r="AI14" s="216">
        <f>SUM(AI2:AI13)</f>
        <v>2156.89</v>
      </c>
      <c r="AJ14" s="216"/>
      <c r="AK14" s="216"/>
      <c r="AL14" s="217">
        <f>SUM(AL2:AL13)</f>
        <v>2722.2222222222222</v>
      </c>
      <c r="AM14" s="217">
        <f>SUM(AM2:AM13)</f>
        <v>1790.7225000000001</v>
      </c>
      <c r="AN14" s="216"/>
      <c r="AO14" s="218">
        <f>SUM(AO2:AO12)</f>
        <v>0</v>
      </c>
      <c r="AP14" s="218">
        <f>SUM(AP2:AP12)</f>
        <v>166960.04999999999</v>
      </c>
    </row>
    <row r="16" spans="1:43" x14ac:dyDescent="0.25">
      <c r="Q16">
        <v>35800.080000000002</v>
      </c>
      <c r="R16">
        <v>372.1</v>
      </c>
      <c r="T16">
        <v>44632.390000000007</v>
      </c>
      <c r="U16">
        <v>487.4</v>
      </c>
      <c r="AM16" s="13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T26"/>
  <sheetViews>
    <sheetView workbookViewId="0">
      <selection activeCell="T5" sqref="T5"/>
    </sheetView>
  </sheetViews>
  <sheetFormatPr defaultRowHeight="15" x14ac:dyDescent="0.25"/>
  <cols>
    <col min="1" max="1" width="22.140625" customWidth="1"/>
    <col min="2" max="2" width="10.42578125" bestFit="1" customWidth="1"/>
    <col min="3" max="3" width="12.7109375" bestFit="1" customWidth="1"/>
  </cols>
  <sheetData>
    <row r="1" spans="1:20" x14ac:dyDescent="0.25">
      <c r="A1" s="32" t="s">
        <v>60</v>
      </c>
    </row>
    <row r="2" spans="1:20" ht="43.5" customHeight="1" x14ac:dyDescent="0.25">
      <c r="A2" s="264" t="s">
        <v>27</v>
      </c>
      <c r="B2" s="266" t="s">
        <v>38</v>
      </c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8"/>
    </row>
    <row r="3" spans="1:20" ht="43.5" customHeight="1" x14ac:dyDescent="0.25">
      <c r="A3" s="265"/>
      <c r="B3" s="37" t="s">
        <v>39</v>
      </c>
      <c r="C3" s="37" t="s">
        <v>40</v>
      </c>
      <c r="D3" s="37" t="s">
        <v>41</v>
      </c>
      <c r="E3" s="37" t="s">
        <v>42</v>
      </c>
      <c r="F3" s="37" t="s">
        <v>43</v>
      </c>
      <c r="G3" s="37" t="s">
        <v>44</v>
      </c>
      <c r="H3" s="38" t="s">
        <v>45</v>
      </c>
      <c r="I3" s="39" t="s">
        <v>46</v>
      </c>
      <c r="J3" s="40" t="s">
        <v>47</v>
      </c>
      <c r="K3" s="40" t="s">
        <v>48</v>
      </c>
      <c r="L3" s="40" t="s">
        <v>49</v>
      </c>
      <c r="M3" s="40" t="s">
        <v>50</v>
      </c>
      <c r="N3" s="40" t="s">
        <v>51</v>
      </c>
      <c r="O3" s="40" t="s">
        <v>52</v>
      </c>
      <c r="P3" s="40" t="s">
        <v>53</v>
      </c>
      <c r="Q3" s="38" t="s">
        <v>54</v>
      </c>
      <c r="R3" s="66" t="s">
        <v>55</v>
      </c>
      <c r="S3" s="67" t="s">
        <v>57</v>
      </c>
      <c r="T3" s="68" t="s">
        <v>58</v>
      </c>
    </row>
    <row r="4" spans="1:20" x14ac:dyDescent="0.25">
      <c r="A4" s="33" t="s">
        <v>28</v>
      </c>
      <c r="B4" s="41"/>
      <c r="C4" s="42"/>
      <c r="D4" s="43"/>
      <c r="E4" s="42"/>
      <c r="F4" s="42"/>
      <c r="G4" s="44"/>
      <c r="H4" s="45"/>
      <c r="I4" s="46"/>
      <c r="J4" s="47"/>
      <c r="K4" s="48"/>
      <c r="L4" s="48"/>
      <c r="M4" s="48"/>
      <c r="N4" s="48"/>
      <c r="O4" s="48"/>
      <c r="P4" s="48"/>
      <c r="Q4" s="45"/>
      <c r="R4" s="49"/>
      <c r="S4" s="45"/>
      <c r="T4" s="49"/>
    </row>
    <row r="5" spans="1:20" x14ac:dyDescent="0.25">
      <c r="A5" s="34" t="s">
        <v>29</v>
      </c>
      <c r="B5" s="269">
        <v>0.31034800000000001</v>
      </c>
      <c r="C5" s="269">
        <v>3.1466000000000001E-2</v>
      </c>
      <c r="D5" s="269">
        <v>7.9459999999999999E-3</v>
      </c>
      <c r="E5" s="269">
        <v>0</v>
      </c>
      <c r="F5" s="269">
        <v>5.0000000000000001E-3</v>
      </c>
      <c r="G5" s="269">
        <v>3.5000000000000001E-3</v>
      </c>
      <c r="H5" s="270">
        <v>0.35826000000000002</v>
      </c>
      <c r="I5" s="50"/>
      <c r="J5" s="51">
        <v>0</v>
      </c>
      <c r="K5" s="263">
        <v>2.5377E-2</v>
      </c>
      <c r="L5" s="263">
        <v>1.251E-2</v>
      </c>
      <c r="M5" s="52">
        <v>0</v>
      </c>
      <c r="N5" s="263">
        <v>1.1349999999999999E-3</v>
      </c>
      <c r="O5" s="263">
        <v>1.4945E-2</v>
      </c>
      <c r="P5" s="263">
        <v>2.5969999999999999E-3</v>
      </c>
      <c r="Q5" s="53">
        <v>5.6563999999999996E-2</v>
      </c>
      <c r="R5" s="54">
        <v>0.41482400000000003</v>
      </c>
      <c r="S5" s="53">
        <v>4.3999999999999997E-2</v>
      </c>
      <c r="T5" s="54">
        <f>R5+S5</f>
        <v>0.45882400000000001</v>
      </c>
    </row>
    <row r="6" spans="1:20" x14ac:dyDescent="0.25">
      <c r="A6" s="34" t="s">
        <v>30</v>
      </c>
      <c r="B6" s="269"/>
      <c r="C6" s="269"/>
      <c r="D6" s="269"/>
      <c r="E6" s="269"/>
      <c r="F6" s="269"/>
      <c r="G6" s="269"/>
      <c r="H6" s="270"/>
      <c r="I6" s="50"/>
      <c r="J6" s="51">
        <v>6.6165000000000002E-2</v>
      </c>
      <c r="K6" s="263"/>
      <c r="L6" s="263"/>
      <c r="M6" s="52">
        <v>3.7600000000000001E-2</v>
      </c>
      <c r="N6" s="263"/>
      <c r="O6" s="263"/>
      <c r="P6" s="263"/>
      <c r="Q6" s="53">
        <v>0.160329</v>
      </c>
      <c r="R6" s="54">
        <v>0.51858899999999997</v>
      </c>
      <c r="S6" s="53">
        <v>0.17499999999999999</v>
      </c>
      <c r="T6" s="54">
        <f t="shared" ref="T6:T10" si="0">R6+S6</f>
        <v>0.69358900000000001</v>
      </c>
    </row>
    <row r="7" spans="1:20" x14ac:dyDescent="0.25">
      <c r="A7" s="34" t="s">
        <v>31</v>
      </c>
      <c r="B7" s="269"/>
      <c r="C7" s="269"/>
      <c r="D7" s="269"/>
      <c r="E7" s="269"/>
      <c r="F7" s="269"/>
      <c r="G7" s="269"/>
      <c r="H7" s="270"/>
      <c r="I7" s="50"/>
      <c r="J7" s="51">
        <v>6.0559000000000002E-2</v>
      </c>
      <c r="K7" s="263"/>
      <c r="L7" s="263"/>
      <c r="M7" s="52">
        <v>2.1700000000000001E-2</v>
      </c>
      <c r="N7" s="263"/>
      <c r="O7" s="263"/>
      <c r="P7" s="263"/>
      <c r="Q7" s="53">
        <v>0.138823</v>
      </c>
      <c r="R7" s="54">
        <v>0.49708300000000005</v>
      </c>
      <c r="S7" s="53">
        <v>0.17</v>
      </c>
      <c r="T7" s="54">
        <f t="shared" si="0"/>
        <v>0.66708300000000009</v>
      </c>
    </row>
    <row r="8" spans="1:20" x14ac:dyDescent="0.25">
      <c r="A8" s="34" t="s">
        <v>32</v>
      </c>
      <c r="B8" s="269"/>
      <c r="C8" s="269"/>
      <c r="D8" s="269"/>
      <c r="E8" s="269"/>
      <c r="F8" s="269"/>
      <c r="G8" s="269"/>
      <c r="H8" s="270"/>
      <c r="I8" s="50"/>
      <c r="J8" s="51">
        <v>6.0559000000000002E-2</v>
      </c>
      <c r="K8" s="263"/>
      <c r="L8" s="263"/>
      <c r="M8" s="52">
        <v>1.7299999999999999E-2</v>
      </c>
      <c r="N8" s="263"/>
      <c r="O8" s="263"/>
      <c r="P8" s="263"/>
      <c r="Q8" s="53">
        <v>0.13442299999999999</v>
      </c>
      <c r="R8" s="54">
        <v>0.49268299999999998</v>
      </c>
      <c r="S8" s="53">
        <v>0.186</v>
      </c>
      <c r="T8" s="54">
        <f t="shared" si="0"/>
        <v>0.67868299999999993</v>
      </c>
    </row>
    <row r="9" spans="1:20" x14ac:dyDescent="0.25">
      <c r="A9" s="34" t="s">
        <v>33</v>
      </c>
      <c r="B9" s="269"/>
      <c r="C9" s="269"/>
      <c r="D9" s="269"/>
      <c r="E9" s="269"/>
      <c r="F9" s="269"/>
      <c r="G9" s="269"/>
      <c r="H9" s="270"/>
      <c r="I9" s="50"/>
      <c r="J9" s="51">
        <v>4.5270999999999999E-2</v>
      </c>
      <c r="K9" s="263"/>
      <c r="L9" s="263"/>
      <c r="M9" s="52">
        <v>1.2E-2</v>
      </c>
      <c r="N9" s="263"/>
      <c r="O9" s="263"/>
      <c r="P9" s="263"/>
      <c r="Q9" s="53">
        <v>0.11383499999999999</v>
      </c>
      <c r="R9" s="54">
        <v>0.47209500000000004</v>
      </c>
      <c r="S9" s="53">
        <v>0.186</v>
      </c>
      <c r="T9" s="54">
        <f t="shared" si="0"/>
        <v>0.6580950000000001</v>
      </c>
    </row>
    <row r="10" spans="1:20" x14ac:dyDescent="0.25">
      <c r="A10" s="34" t="s">
        <v>34</v>
      </c>
      <c r="B10" s="269"/>
      <c r="C10" s="269"/>
      <c r="D10" s="269"/>
      <c r="E10" s="269"/>
      <c r="F10" s="269"/>
      <c r="G10" s="269"/>
      <c r="H10" s="270"/>
      <c r="I10" s="50"/>
      <c r="J10" s="51">
        <v>2.2932999999999999E-2</v>
      </c>
      <c r="K10" s="263"/>
      <c r="L10" s="263"/>
      <c r="M10" s="52">
        <v>4.1999999999999997E-3</v>
      </c>
      <c r="N10" s="263"/>
      <c r="O10" s="263"/>
      <c r="P10" s="263"/>
      <c r="Q10" s="53">
        <v>8.3696999999999994E-2</v>
      </c>
      <c r="R10" s="54">
        <v>0.44195700000000004</v>
      </c>
      <c r="S10" s="53">
        <v>0.186</v>
      </c>
      <c r="T10" s="54">
        <f t="shared" si="0"/>
        <v>0.6279570000000001</v>
      </c>
    </row>
    <row r="11" spans="1:20" x14ac:dyDescent="0.25">
      <c r="A11" s="34" t="s">
        <v>35</v>
      </c>
      <c r="B11" s="55" t="s">
        <v>56</v>
      </c>
      <c r="C11" s="55" t="s">
        <v>56</v>
      </c>
      <c r="D11" s="55" t="s">
        <v>56</v>
      </c>
      <c r="E11" s="55" t="s">
        <v>56</v>
      </c>
      <c r="F11" s="55" t="s">
        <v>56</v>
      </c>
      <c r="G11" s="55" t="s">
        <v>56</v>
      </c>
      <c r="H11" s="56" t="s">
        <v>56</v>
      </c>
      <c r="I11" s="50"/>
      <c r="J11" s="57" t="s">
        <v>56</v>
      </c>
      <c r="K11" s="57" t="s">
        <v>56</v>
      </c>
      <c r="L11" s="57" t="s">
        <v>56</v>
      </c>
      <c r="M11" s="57" t="s">
        <v>56</v>
      </c>
      <c r="N11" s="57" t="s">
        <v>56</v>
      </c>
      <c r="O11" s="57" t="s">
        <v>56</v>
      </c>
      <c r="P11" s="57" t="s">
        <v>56</v>
      </c>
      <c r="Q11" s="56" t="s">
        <v>56</v>
      </c>
      <c r="R11" s="58" t="s">
        <v>56</v>
      </c>
      <c r="S11" s="56"/>
      <c r="T11" s="58"/>
    </row>
    <row r="12" spans="1:20" x14ac:dyDescent="0.25">
      <c r="A12" s="35" t="s">
        <v>36</v>
      </c>
      <c r="B12" s="55" t="s">
        <v>56</v>
      </c>
      <c r="C12" s="55" t="s">
        <v>56</v>
      </c>
      <c r="D12" s="55" t="s">
        <v>56</v>
      </c>
      <c r="E12" s="55" t="s">
        <v>56</v>
      </c>
      <c r="F12" s="55" t="s">
        <v>56</v>
      </c>
      <c r="G12" s="55" t="s">
        <v>56</v>
      </c>
      <c r="H12" s="56" t="s">
        <v>56</v>
      </c>
      <c r="I12" s="50"/>
      <c r="J12" s="57" t="s">
        <v>56</v>
      </c>
      <c r="K12" s="57" t="s">
        <v>56</v>
      </c>
      <c r="L12" s="57" t="s">
        <v>56</v>
      </c>
      <c r="M12" s="57" t="s">
        <v>56</v>
      </c>
      <c r="N12" s="57" t="s">
        <v>56</v>
      </c>
      <c r="O12" s="57" t="s">
        <v>56</v>
      </c>
      <c r="P12" s="57" t="s">
        <v>56</v>
      </c>
      <c r="Q12" s="56" t="s">
        <v>56</v>
      </c>
      <c r="R12" s="58" t="s">
        <v>56</v>
      </c>
      <c r="S12" s="56"/>
      <c r="T12" s="58"/>
    </row>
    <row r="13" spans="1:20" x14ac:dyDescent="0.25">
      <c r="A13" s="36" t="s">
        <v>37</v>
      </c>
      <c r="B13" s="59"/>
      <c r="C13" s="60"/>
      <c r="D13" s="61">
        <v>75.319999999999993</v>
      </c>
      <c r="E13" s="60"/>
      <c r="F13" s="60"/>
      <c r="G13" s="62"/>
      <c r="H13" s="63">
        <v>75.319999999999993</v>
      </c>
      <c r="I13" s="64">
        <v>58.47</v>
      </c>
      <c r="J13" s="64"/>
      <c r="K13" s="64"/>
      <c r="L13" s="64"/>
      <c r="M13" s="64">
        <v>-27.01</v>
      </c>
      <c r="N13" s="64"/>
      <c r="O13" s="64"/>
      <c r="P13" s="64"/>
      <c r="Q13" s="63">
        <v>31.459999999999997</v>
      </c>
      <c r="R13" s="65">
        <v>106.77999999999999</v>
      </c>
      <c r="S13" s="63"/>
      <c r="T13" s="65"/>
    </row>
    <row r="17" spans="1:3" x14ac:dyDescent="0.25">
      <c r="A17" s="4">
        <v>120</v>
      </c>
      <c r="B17" s="69">
        <f>T5</f>
        <v>0.45882400000000001</v>
      </c>
      <c r="C17" s="70">
        <f>A17*B17</f>
        <v>55.058880000000002</v>
      </c>
    </row>
    <row r="18" spans="1:3" x14ac:dyDescent="0.25">
      <c r="A18" s="4">
        <v>360</v>
      </c>
      <c r="B18" s="69">
        <f>T6</f>
        <v>0.69358900000000001</v>
      </c>
      <c r="C18" s="70">
        <f t="shared" ref="C18:C21" si="1">A18*B18</f>
        <v>249.69203999999999</v>
      </c>
    </row>
    <row r="19" spans="1:3" x14ac:dyDescent="0.25">
      <c r="A19" s="4">
        <v>1080</v>
      </c>
      <c r="B19" s="69">
        <f>T7</f>
        <v>0.66708300000000009</v>
      </c>
      <c r="C19" s="70">
        <f t="shared" si="1"/>
        <v>720.44964000000004</v>
      </c>
    </row>
    <row r="20" spans="1:3" x14ac:dyDescent="0.25">
      <c r="A20" s="4">
        <v>3440</v>
      </c>
      <c r="B20" s="69">
        <f>T8</f>
        <v>0.67868299999999993</v>
      </c>
      <c r="C20" s="70">
        <f t="shared" si="1"/>
        <v>2334.6695199999999</v>
      </c>
    </row>
    <row r="21" spans="1:3" x14ac:dyDescent="0.25">
      <c r="A21" s="4">
        <v>25000</v>
      </c>
      <c r="B21" s="69">
        <f>T9</f>
        <v>0.6580950000000001</v>
      </c>
      <c r="C21" s="70">
        <f t="shared" si="1"/>
        <v>16452.375000000004</v>
      </c>
    </row>
    <row r="22" spans="1:3" x14ac:dyDescent="0.25">
      <c r="B22" s="2"/>
      <c r="C22" s="2"/>
    </row>
    <row r="23" spans="1:3" x14ac:dyDescent="0.25">
      <c r="A23" s="5">
        <f>SUM(A17:A22)</f>
        <v>30000</v>
      </c>
      <c r="B23" s="2"/>
      <c r="C23" s="71">
        <f>SUM(C17:C22)</f>
        <v>19812.245080000004</v>
      </c>
    </row>
    <row r="26" spans="1:3" x14ac:dyDescent="0.25">
      <c r="A26" s="3" t="s">
        <v>59</v>
      </c>
      <c r="B26" s="2">
        <f>C23/A23</f>
        <v>0.66040816933333346</v>
      </c>
    </row>
  </sheetData>
  <mergeCells count="14">
    <mergeCell ref="L5:L10"/>
    <mergeCell ref="N5:N10"/>
    <mergeCell ref="O5:O10"/>
    <mergeCell ref="P5:P10"/>
    <mergeCell ref="A2:A3"/>
    <mergeCell ref="B2:R2"/>
    <mergeCell ref="B5:B10"/>
    <mergeCell ref="C5:C10"/>
    <mergeCell ref="D5:D10"/>
    <mergeCell ref="E5:E10"/>
    <mergeCell ref="F5:F10"/>
    <mergeCell ref="G5:G10"/>
    <mergeCell ref="H5:H10"/>
    <mergeCell ref="K5:K10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706F5-43C6-474D-A4C9-5D8C65B3E44E}">
  <sheetPr codeName="Foglio13"/>
  <dimension ref="A1:N22"/>
  <sheetViews>
    <sheetView workbookViewId="0">
      <pane xSplit="8" ySplit="2" topLeftCell="I17" activePane="bottomRight" state="frozen"/>
      <selection activeCell="I75" sqref="I75"/>
      <selection pane="topRight" activeCell="I75" sqref="I75"/>
      <selection pane="bottomLeft" activeCell="I75" sqref="I75"/>
      <selection pane="bottomRight" activeCell="I75" sqref="I75"/>
    </sheetView>
  </sheetViews>
  <sheetFormatPr defaultRowHeight="15" x14ac:dyDescent="0.25"/>
  <cols>
    <col min="1" max="1" width="15.140625" bestFit="1" customWidth="1"/>
    <col min="2" max="3" width="17.5703125" bestFit="1" customWidth="1"/>
    <col min="4" max="4" width="12.42578125" bestFit="1" customWidth="1"/>
    <col min="7" max="7" width="14.5703125" bestFit="1" customWidth="1"/>
    <col min="8" max="8" width="18.7109375" bestFit="1" customWidth="1"/>
    <col min="11" max="11" width="16.85546875" customWidth="1"/>
    <col min="13" max="13" width="12" bestFit="1" customWidth="1"/>
    <col min="14" max="14" width="11" bestFit="1" customWidth="1"/>
  </cols>
  <sheetData>
    <row r="1" spans="1:14" ht="20.25" customHeight="1" x14ac:dyDescent="0.25">
      <c r="A1" s="315" t="s">
        <v>447</v>
      </c>
      <c r="B1" s="315" t="s">
        <v>448</v>
      </c>
      <c r="C1" s="315" t="s">
        <v>449</v>
      </c>
      <c r="D1" s="315" t="s">
        <v>450</v>
      </c>
      <c r="E1" s="315" t="s">
        <v>451</v>
      </c>
      <c r="F1" s="315" t="s">
        <v>452</v>
      </c>
      <c r="G1" s="315" t="s">
        <v>453</v>
      </c>
      <c r="H1" s="315" t="s">
        <v>454</v>
      </c>
      <c r="I1" s="315" t="s">
        <v>455</v>
      </c>
      <c r="J1" s="315" t="s">
        <v>456</v>
      </c>
      <c r="K1" s="315" t="s">
        <v>457</v>
      </c>
      <c r="L1" s="315" t="s">
        <v>458</v>
      </c>
    </row>
    <row r="2" spans="1:14" ht="20.25" customHeight="1" x14ac:dyDescent="0.25">
      <c r="A2" s="317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6"/>
      <c r="M2" t="s">
        <v>559</v>
      </c>
    </row>
    <row r="3" spans="1:14" ht="51" x14ac:dyDescent="0.25">
      <c r="A3" s="173" t="s">
        <v>459</v>
      </c>
      <c r="B3" s="173">
        <v>37027855</v>
      </c>
      <c r="C3" s="173">
        <v>2373</v>
      </c>
      <c r="D3" s="173" t="s">
        <v>460</v>
      </c>
      <c r="E3" s="173" t="s">
        <v>461</v>
      </c>
      <c r="F3" s="174" t="s">
        <v>462</v>
      </c>
      <c r="G3" s="175" t="s">
        <v>463</v>
      </c>
      <c r="H3" s="176" t="s">
        <v>464</v>
      </c>
      <c r="I3" s="176" t="s">
        <v>465</v>
      </c>
      <c r="J3" s="176">
        <v>22100</v>
      </c>
      <c r="K3" s="177" t="s">
        <v>466</v>
      </c>
      <c r="L3" s="178">
        <v>278.01</v>
      </c>
      <c r="M3" s="184">
        <f>29078-929</f>
        <v>28149</v>
      </c>
      <c r="N3" s="139">
        <f>M3/103</f>
        <v>273.29126213592235</v>
      </c>
    </row>
    <row r="4" spans="1:14" ht="51" x14ac:dyDescent="0.25">
      <c r="A4" s="173" t="s">
        <v>467</v>
      </c>
      <c r="B4" s="173">
        <v>37027851</v>
      </c>
      <c r="C4" s="173">
        <v>2498</v>
      </c>
      <c r="D4" s="173" t="s">
        <v>460</v>
      </c>
      <c r="E4" s="173" t="s">
        <v>461</v>
      </c>
      <c r="F4" s="174" t="s">
        <v>468</v>
      </c>
      <c r="G4" s="175" t="s">
        <v>469</v>
      </c>
      <c r="H4" s="179" t="s">
        <v>470</v>
      </c>
      <c r="I4" s="179" t="s">
        <v>465</v>
      </c>
      <c r="J4" s="179">
        <v>22100</v>
      </c>
      <c r="K4" s="180" t="s">
        <v>471</v>
      </c>
      <c r="L4" s="178">
        <v>166.66666666666666</v>
      </c>
      <c r="M4" s="184">
        <f>19315-246.49</f>
        <v>19068.509999999998</v>
      </c>
      <c r="N4" s="139">
        <f>M4/103</f>
        <v>185.13116504854366</v>
      </c>
    </row>
    <row r="5" spans="1:14" ht="38.25" x14ac:dyDescent="0.25">
      <c r="A5" s="173" t="s">
        <v>472</v>
      </c>
      <c r="B5" s="173">
        <v>37027771</v>
      </c>
      <c r="C5" s="173">
        <v>2248</v>
      </c>
      <c r="D5" s="173" t="s">
        <v>460</v>
      </c>
      <c r="E5" s="173" t="s">
        <v>461</v>
      </c>
      <c r="F5" s="174" t="s">
        <v>473</v>
      </c>
      <c r="G5" s="175" t="s">
        <v>474</v>
      </c>
      <c r="H5" s="179" t="s">
        <v>289</v>
      </c>
      <c r="I5" s="179" t="s">
        <v>465</v>
      </c>
      <c r="J5" s="179">
        <v>22100</v>
      </c>
      <c r="K5" s="180" t="s">
        <v>475</v>
      </c>
      <c r="L5" s="178">
        <v>233.88</v>
      </c>
      <c r="M5" s="184">
        <f>20971-184</f>
        <v>20787</v>
      </c>
      <c r="N5" s="139">
        <f>M5/103</f>
        <v>201.81553398058253</v>
      </c>
    </row>
    <row r="6" spans="1:14" ht="38.25" x14ac:dyDescent="0.25">
      <c r="A6" s="173" t="s">
        <v>476</v>
      </c>
      <c r="B6" s="173">
        <v>15218748</v>
      </c>
      <c r="C6" s="173">
        <v>1175</v>
      </c>
      <c r="D6" s="173" t="s">
        <v>460</v>
      </c>
      <c r="E6" s="173" t="s">
        <v>461</v>
      </c>
      <c r="F6" s="174" t="s">
        <v>477</v>
      </c>
      <c r="G6" s="175" t="s">
        <v>478</v>
      </c>
      <c r="H6" s="179" t="s">
        <v>479</v>
      </c>
      <c r="I6" s="179" t="s">
        <v>465</v>
      </c>
      <c r="J6" s="179">
        <v>22100</v>
      </c>
      <c r="K6" s="180" t="s">
        <v>480</v>
      </c>
      <c r="L6" s="178">
        <v>170.64</v>
      </c>
      <c r="M6" s="184">
        <f>11773-331</f>
        <v>11442</v>
      </c>
      <c r="N6" s="139">
        <f>M6/103</f>
        <v>111.08737864077671</v>
      </c>
    </row>
    <row r="7" spans="1:14" ht="38.25" x14ac:dyDescent="0.25">
      <c r="A7" s="173" t="s">
        <v>481</v>
      </c>
      <c r="B7" s="173">
        <v>7011527</v>
      </c>
      <c r="C7" s="173" t="s">
        <v>482</v>
      </c>
      <c r="D7" s="173" t="s">
        <v>460</v>
      </c>
      <c r="E7" s="173" t="s">
        <v>461</v>
      </c>
      <c r="F7" s="174" t="s">
        <v>483</v>
      </c>
      <c r="G7" s="175" t="s">
        <v>484</v>
      </c>
      <c r="H7" s="179" t="s">
        <v>485</v>
      </c>
      <c r="I7" s="179" t="s">
        <v>465</v>
      </c>
      <c r="J7" s="179">
        <v>22100</v>
      </c>
      <c r="K7" s="180" t="s">
        <v>486</v>
      </c>
      <c r="L7" s="178">
        <v>793</v>
      </c>
      <c r="M7" s="184">
        <f>76054-3636</f>
        <v>72418</v>
      </c>
      <c r="N7" s="139">
        <f>M7/103</f>
        <v>703.08737864077671</v>
      </c>
    </row>
    <row r="8" spans="1:14" ht="51" x14ac:dyDescent="0.25">
      <c r="A8" s="173" t="s">
        <v>487</v>
      </c>
      <c r="B8" s="173">
        <v>15218765</v>
      </c>
      <c r="C8" s="173">
        <v>1013</v>
      </c>
      <c r="D8" s="173" t="s">
        <v>460</v>
      </c>
      <c r="E8" s="173" t="s">
        <v>461</v>
      </c>
      <c r="F8" s="174" t="s">
        <v>488</v>
      </c>
      <c r="G8" s="175" t="s">
        <v>489</v>
      </c>
      <c r="H8" s="179" t="s">
        <v>470</v>
      </c>
      <c r="I8" s="179" t="s">
        <v>465</v>
      </c>
      <c r="J8" s="179">
        <v>22100</v>
      </c>
      <c r="K8" s="180" t="s">
        <v>490</v>
      </c>
      <c r="L8" s="178">
        <v>0</v>
      </c>
      <c r="M8" s="184"/>
    </row>
    <row r="9" spans="1:14" ht="51" x14ac:dyDescent="0.25">
      <c r="A9" s="173" t="s">
        <v>491</v>
      </c>
      <c r="B9" s="173">
        <v>72531</v>
      </c>
      <c r="C9" s="173" t="s">
        <v>492</v>
      </c>
      <c r="D9" s="173" t="s">
        <v>460</v>
      </c>
      <c r="E9" s="173" t="s">
        <v>461</v>
      </c>
      <c r="F9" s="174" t="s">
        <v>493</v>
      </c>
      <c r="G9" s="175" t="s">
        <v>494</v>
      </c>
      <c r="H9" s="179" t="s">
        <v>495</v>
      </c>
      <c r="I9" s="179" t="s">
        <v>465</v>
      </c>
      <c r="J9" s="179">
        <v>22100</v>
      </c>
      <c r="K9" s="180" t="s">
        <v>496</v>
      </c>
      <c r="L9" s="178">
        <v>365.62</v>
      </c>
      <c r="M9" s="184">
        <f>30502-646</f>
        <v>29856</v>
      </c>
      <c r="N9" s="139">
        <f>M9/103</f>
        <v>289.86407766990294</v>
      </c>
    </row>
    <row r="10" spans="1:14" ht="25.5" x14ac:dyDescent="0.25">
      <c r="A10" s="173" t="s">
        <v>497</v>
      </c>
      <c r="B10" s="173">
        <v>7016748</v>
      </c>
      <c r="C10" s="173"/>
      <c r="D10" s="173" t="s">
        <v>460</v>
      </c>
      <c r="E10" s="173" t="s">
        <v>461</v>
      </c>
      <c r="F10" s="174" t="s">
        <v>498</v>
      </c>
      <c r="G10" s="175" t="s">
        <v>499</v>
      </c>
      <c r="H10" s="179" t="s">
        <v>281</v>
      </c>
      <c r="I10" s="179" t="s">
        <v>465</v>
      </c>
      <c r="J10" s="179">
        <v>22100</v>
      </c>
      <c r="K10" s="180" t="s">
        <v>500</v>
      </c>
      <c r="L10" s="178">
        <v>56.07</v>
      </c>
      <c r="M10" s="184">
        <v>6178.44</v>
      </c>
      <c r="N10" s="139">
        <f>M10/103</f>
        <v>59.984854368932034</v>
      </c>
    </row>
    <row r="11" spans="1:14" ht="51" x14ac:dyDescent="0.25">
      <c r="A11" s="173" t="s">
        <v>501</v>
      </c>
      <c r="B11" s="173">
        <v>7024505</v>
      </c>
      <c r="C11" s="173"/>
      <c r="D11" s="173" t="s">
        <v>460</v>
      </c>
      <c r="E11" s="173" t="s">
        <v>461</v>
      </c>
      <c r="F11" s="174" t="s">
        <v>502</v>
      </c>
      <c r="G11" s="175" t="s">
        <v>503</v>
      </c>
      <c r="H11" s="179" t="s">
        <v>504</v>
      </c>
      <c r="I11" s="179" t="s">
        <v>465</v>
      </c>
      <c r="J11" s="179">
        <v>22100</v>
      </c>
      <c r="K11" s="180" t="s">
        <v>505</v>
      </c>
      <c r="L11" s="178">
        <v>0</v>
      </c>
      <c r="M11" s="184"/>
    </row>
    <row r="12" spans="1:14" ht="38.25" x14ac:dyDescent="0.25">
      <c r="A12" s="173" t="s">
        <v>506</v>
      </c>
      <c r="B12" s="173">
        <v>15159506</v>
      </c>
      <c r="C12" s="173" t="s">
        <v>507</v>
      </c>
      <c r="D12" s="173" t="s">
        <v>460</v>
      </c>
      <c r="E12" s="173" t="s">
        <v>461</v>
      </c>
      <c r="F12" s="174" t="s">
        <v>508</v>
      </c>
      <c r="G12" s="175" t="s">
        <v>509</v>
      </c>
      <c r="H12" s="179" t="s">
        <v>510</v>
      </c>
      <c r="I12" s="179" t="s">
        <v>465</v>
      </c>
      <c r="J12" s="179">
        <v>22100</v>
      </c>
      <c r="K12" s="180" t="s">
        <v>511</v>
      </c>
      <c r="L12" s="178">
        <v>273.61111111111109</v>
      </c>
      <c r="M12" s="184">
        <v>21324</v>
      </c>
      <c r="N12" s="139">
        <f t="shared" ref="N12:N18" si="0">M12/103</f>
        <v>207.02912621359224</v>
      </c>
    </row>
    <row r="13" spans="1:14" ht="51" x14ac:dyDescent="0.25">
      <c r="A13" s="173" t="s">
        <v>512</v>
      </c>
      <c r="B13" s="173">
        <v>15102342</v>
      </c>
      <c r="C13" s="173" t="s">
        <v>513</v>
      </c>
      <c r="D13" s="173" t="s">
        <v>460</v>
      </c>
      <c r="E13" s="173" t="s">
        <v>461</v>
      </c>
      <c r="F13" s="174" t="s">
        <v>514</v>
      </c>
      <c r="G13" s="175" t="s">
        <v>515</v>
      </c>
      <c r="H13" s="179" t="s">
        <v>516</v>
      </c>
      <c r="I13" s="179" t="s">
        <v>465</v>
      </c>
      <c r="J13" s="179">
        <v>22100</v>
      </c>
      <c r="K13" s="180" t="s">
        <v>517</v>
      </c>
      <c r="L13" s="178">
        <v>301.77</v>
      </c>
      <c r="M13" s="184">
        <v>29607</v>
      </c>
      <c r="N13" s="139">
        <f t="shared" si="0"/>
        <v>287.44660194174759</v>
      </c>
    </row>
    <row r="14" spans="1:14" ht="38.25" x14ac:dyDescent="0.25">
      <c r="A14" s="173" t="s">
        <v>518</v>
      </c>
      <c r="B14" s="173">
        <v>7209746</v>
      </c>
      <c r="C14" s="173"/>
      <c r="D14" s="173" t="s">
        <v>460</v>
      </c>
      <c r="E14" s="173" t="s">
        <v>461</v>
      </c>
      <c r="F14" s="174" t="s">
        <v>519</v>
      </c>
      <c r="G14" s="175" t="s">
        <v>520</v>
      </c>
      <c r="H14" s="179" t="s">
        <v>521</v>
      </c>
      <c r="I14" s="179" t="s">
        <v>465</v>
      </c>
      <c r="J14" s="179">
        <v>22100</v>
      </c>
      <c r="K14" s="180" t="s">
        <v>522</v>
      </c>
      <c r="L14" s="178">
        <v>19.579999999999998</v>
      </c>
      <c r="M14" s="184">
        <v>1411.49</v>
      </c>
      <c r="N14" s="139">
        <f t="shared" si="0"/>
        <v>13.703786407766991</v>
      </c>
    </row>
    <row r="15" spans="1:14" ht="51" x14ac:dyDescent="0.25">
      <c r="A15" s="181" t="s">
        <v>523</v>
      </c>
      <c r="B15" s="173" t="s">
        <v>524</v>
      </c>
      <c r="C15" s="173"/>
      <c r="D15" s="173" t="s">
        <v>460</v>
      </c>
      <c r="E15" s="173" t="s">
        <v>461</v>
      </c>
      <c r="F15" s="174" t="s">
        <v>525</v>
      </c>
      <c r="G15" s="175" t="s">
        <v>526</v>
      </c>
      <c r="H15" s="179" t="s">
        <v>527</v>
      </c>
      <c r="I15" s="179" t="s">
        <v>465</v>
      </c>
      <c r="J15" s="179">
        <v>22100</v>
      </c>
      <c r="K15" s="180" t="s">
        <v>528</v>
      </c>
      <c r="L15" s="178">
        <v>169.45</v>
      </c>
      <c r="M15" s="184">
        <v>18624</v>
      </c>
      <c r="N15" s="139">
        <f t="shared" si="0"/>
        <v>180.81553398058253</v>
      </c>
    </row>
    <row r="16" spans="1:14" ht="51" x14ac:dyDescent="0.25">
      <c r="A16" s="173" t="s">
        <v>529</v>
      </c>
      <c r="B16" s="173" t="s">
        <v>530</v>
      </c>
      <c r="C16" s="173"/>
      <c r="D16" s="173" t="s">
        <v>460</v>
      </c>
      <c r="E16" s="173" t="s">
        <v>461</v>
      </c>
      <c r="F16" s="174" t="s">
        <v>531</v>
      </c>
      <c r="G16" s="175" t="s">
        <v>532</v>
      </c>
      <c r="H16" s="179" t="s">
        <v>533</v>
      </c>
      <c r="I16" s="179" t="s">
        <v>465</v>
      </c>
      <c r="J16" s="179">
        <v>22100</v>
      </c>
      <c r="K16" s="180" t="s">
        <v>534</v>
      </c>
      <c r="L16" s="178">
        <v>62.5</v>
      </c>
      <c r="M16" s="184">
        <v>4662</v>
      </c>
      <c r="N16" s="139">
        <f t="shared" si="0"/>
        <v>45.262135922330096</v>
      </c>
    </row>
    <row r="17" spans="1:14" ht="25.5" x14ac:dyDescent="0.25">
      <c r="A17" s="173" t="s">
        <v>535</v>
      </c>
      <c r="B17" s="173" t="s">
        <v>536</v>
      </c>
      <c r="C17" s="173"/>
      <c r="D17" s="173" t="s">
        <v>460</v>
      </c>
      <c r="E17" s="173" t="s">
        <v>461</v>
      </c>
      <c r="F17" s="174" t="s">
        <v>537</v>
      </c>
      <c r="G17" s="175" t="s">
        <v>538</v>
      </c>
      <c r="H17" s="179" t="s">
        <v>539</v>
      </c>
      <c r="I17" s="179" t="s">
        <v>465</v>
      </c>
      <c r="J17" s="179">
        <v>22100</v>
      </c>
      <c r="K17" s="180" t="s">
        <v>540</v>
      </c>
      <c r="L17" s="178">
        <v>63.31</v>
      </c>
      <c r="M17" s="184">
        <v>7554</v>
      </c>
      <c r="N17" s="139">
        <f t="shared" si="0"/>
        <v>73.339805825242721</v>
      </c>
    </row>
    <row r="18" spans="1:14" ht="51" x14ac:dyDescent="0.25">
      <c r="A18" s="173" t="s">
        <v>541</v>
      </c>
      <c r="B18" s="173" t="s">
        <v>542</v>
      </c>
      <c r="C18" s="173"/>
      <c r="D18" s="173" t="s">
        <v>460</v>
      </c>
      <c r="E18" s="173" t="s">
        <v>461</v>
      </c>
      <c r="F18" s="174" t="s">
        <v>543</v>
      </c>
      <c r="G18" s="175" t="s">
        <v>544</v>
      </c>
      <c r="H18" s="179" t="s">
        <v>545</v>
      </c>
      <c r="I18" s="179" t="s">
        <v>465</v>
      </c>
      <c r="J18" s="179">
        <v>22100</v>
      </c>
      <c r="K18" s="180" t="s">
        <v>546</v>
      </c>
      <c r="L18" s="178">
        <v>59.36</v>
      </c>
      <c r="M18" s="184">
        <v>7114</v>
      </c>
      <c r="N18" s="139">
        <f t="shared" si="0"/>
        <v>69.067961165048544</v>
      </c>
    </row>
    <row r="19" spans="1:14" ht="89.25" x14ac:dyDescent="0.25">
      <c r="A19" s="173" t="s">
        <v>547</v>
      </c>
      <c r="B19" s="173" t="s">
        <v>548</v>
      </c>
      <c r="C19" s="173"/>
      <c r="D19" s="173" t="s">
        <v>460</v>
      </c>
      <c r="E19" s="173" t="s">
        <v>461</v>
      </c>
      <c r="F19" s="174" t="s">
        <v>549</v>
      </c>
      <c r="G19" s="175" t="s">
        <v>550</v>
      </c>
      <c r="H19" s="179" t="s">
        <v>551</v>
      </c>
      <c r="I19" s="179" t="s">
        <v>465</v>
      </c>
      <c r="J19" s="179">
        <v>22100</v>
      </c>
      <c r="K19" s="180" t="s">
        <v>552</v>
      </c>
      <c r="L19" s="178">
        <v>143.69999999999999</v>
      </c>
      <c r="M19" s="184">
        <v>0</v>
      </c>
    </row>
    <row r="20" spans="1:14" ht="25.5" x14ac:dyDescent="0.25">
      <c r="A20" s="173" t="s">
        <v>553</v>
      </c>
      <c r="B20" s="173" t="s">
        <v>554</v>
      </c>
      <c r="C20" s="173"/>
      <c r="D20" s="173" t="s">
        <v>460</v>
      </c>
      <c r="E20" s="173" t="s">
        <v>461</v>
      </c>
      <c r="F20" s="174" t="s">
        <v>555</v>
      </c>
      <c r="G20" s="175" t="s">
        <v>556</v>
      </c>
      <c r="H20" s="182" t="s">
        <v>470</v>
      </c>
      <c r="I20" s="182" t="s">
        <v>465</v>
      </c>
      <c r="J20" s="182">
        <v>22100</v>
      </c>
      <c r="K20" s="183" t="s">
        <v>557</v>
      </c>
      <c r="L20" s="178">
        <v>0</v>
      </c>
      <c r="M20" s="184"/>
    </row>
    <row r="22" spans="1:14" x14ac:dyDescent="0.25">
      <c r="N22" s="5">
        <f>SUM(N3:N20)</f>
        <v>2700.9266019417478</v>
      </c>
    </row>
  </sheetData>
  <mergeCells count="12">
    <mergeCell ref="L1:L2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2F582-F036-457D-AB5E-6FA8DBD81F9A}">
  <sheetPr>
    <tabColor rgb="FF92D050"/>
  </sheetPr>
  <dimension ref="A1:W22"/>
  <sheetViews>
    <sheetView workbookViewId="0">
      <selection activeCell="I26" sqref="I26"/>
    </sheetView>
  </sheetViews>
  <sheetFormatPr defaultRowHeight="15" x14ac:dyDescent="0.25"/>
  <cols>
    <col min="1" max="1" width="22.28515625" customWidth="1"/>
    <col min="22" max="22" width="11.85546875" bestFit="1" customWidth="1"/>
    <col min="23" max="23" width="12.42578125" bestFit="1" customWidth="1"/>
  </cols>
  <sheetData>
    <row r="1" spans="1:23" ht="15.75" x14ac:dyDescent="0.25">
      <c r="A1" s="74" t="s">
        <v>62</v>
      </c>
      <c r="B1" s="32"/>
      <c r="C1" s="32"/>
      <c r="D1" s="32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</row>
    <row r="2" spans="1:23" ht="25.5" x14ac:dyDescent="0.25">
      <c r="A2" s="77" t="s">
        <v>63</v>
      </c>
      <c r="B2" s="32"/>
      <c r="C2" s="32"/>
      <c r="D2" s="32"/>
      <c r="E2" s="286" t="s">
        <v>64</v>
      </c>
      <c r="F2" s="75"/>
      <c r="G2" s="75"/>
      <c r="H2" s="75"/>
      <c r="I2" s="75"/>
      <c r="J2" s="75"/>
      <c r="K2" s="75"/>
      <c r="L2" s="75"/>
      <c r="M2" s="286" t="s">
        <v>65</v>
      </c>
      <c r="N2" s="78"/>
      <c r="O2" s="75"/>
      <c r="P2" s="75"/>
      <c r="Q2" s="75"/>
      <c r="R2" s="286" t="s">
        <v>66</v>
      </c>
    </row>
    <row r="3" spans="1:23" x14ac:dyDescent="0.25">
      <c r="A3" s="79" t="s">
        <v>67</v>
      </c>
      <c r="B3" s="32"/>
      <c r="C3" s="32"/>
      <c r="D3" s="32"/>
      <c r="E3" s="287"/>
      <c r="F3" s="75"/>
      <c r="G3" s="75"/>
      <c r="H3" s="75"/>
      <c r="I3" s="75"/>
      <c r="J3" s="75"/>
      <c r="K3" s="75"/>
      <c r="L3" s="75"/>
      <c r="M3" s="287"/>
      <c r="N3" s="78"/>
      <c r="O3" s="75"/>
      <c r="P3" s="75"/>
      <c r="Q3" s="75"/>
      <c r="R3" s="287"/>
    </row>
    <row r="4" spans="1:23" x14ac:dyDescent="0.25">
      <c r="A4" s="220" t="s">
        <v>617</v>
      </c>
      <c r="B4" s="81" t="s">
        <v>39</v>
      </c>
      <c r="C4" s="82" t="s">
        <v>40</v>
      </c>
      <c r="D4" s="82" t="s">
        <v>41</v>
      </c>
      <c r="E4" s="288"/>
      <c r="F4" s="83" t="s">
        <v>46</v>
      </c>
      <c r="G4" s="84" t="s">
        <v>47</v>
      </c>
      <c r="H4" s="84" t="s">
        <v>48</v>
      </c>
      <c r="I4" s="84" t="s">
        <v>53</v>
      </c>
      <c r="J4" s="84" t="s">
        <v>49</v>
      </c>
      <c r="K4" s="85" t="s">
        <v>68</v>
      </c>
      <c r="L4" s="86" t="s">
        <v>69</v>
      </c>
      <c r="M4" s="288"/>
      <c r="N4" s="84" t="s">
        <v>51</v>
      </c>
      <c r="O4" s="83" t="s">
        <v>52</v>
      </c>
      <c r="P4" s="87" t="s">
        <v>50</v>
      </c>
      <c r="Q4" s="87" t="s">
        <v>70</v>
      </c>
      <c r="R4" s="288"/>
    </row>
    <row r="5" spans="1:23" ht="25.5" x14ac:dyDescent="0.25">
      <c r="A5" s="33" t="s">
        <v>71</v>
      </c>
      <c r="B5" s="88"/>
      <c r="C5" s="89"/>
      <c r="D5" s="89"/>
      <c r="E5" s="90"/>
      <c r="F5" s="89"/>
      <c r="G5" s="88"/>
      <c r="H5" s="89"/>
      <c r="I5" s="89"/>
      <c r="J5" s="89"/>
      <c r="K5" s="89"/>
      <c r="L5" s="89"/>
      <c r="M5" s="91"/>
      <c r="N5" s="91"/>
      <c r="O5" s="88"/>
      <c r="P5" s="89"/>
      <c r="Q5" s="92"/>
      <c r="R5" s="92"/>
      <c r="S5" s="67" t="s">
        <v>81</v>
      </c>
      <c r="T5" s="120" t="s">
        <v>57</v>
      </c>
      <c r="U5" s="67" t="s">
        <v>82</v>
      </c>
      <c r="V5" s="67" t="s">
        <v>83</v>
      </c>
      <c r="W5" s="121" t="s">
        <v>84</v>
      </c>
    </row>
    <row r="6" spans="1:23" x14ac:dyDescent="0.25">
      <c r="A6" s="34" t="s">
        <v>72</v>
      </c>
      <c r="B6" s="263">
        <v>0.43684899999999999</v>
      </c>
      <c r="C6" s="263">
        <v>2.9033E-2</v>
      </c>
      <c r="D6" s="263">
        <v>7.9459999999999999E-3</v>
      </c>
      <c r="E6" s="289">
        <f>SUM(B6:D11)</f>
        <v>0.47382799999999997</v>
      </c>
      <c r="F6" s="273" t="s">
        <v>73</v>
      </c>
      <c r="G6" s="93">
        <v>0</v>
      </c>
      <c r="H6" s="291">
        <v>0.14469000000000001</v>
      </c>
      <c r="I6" s="291">
        <v>1.186E-3</v>
      </c>
      <c r="J6" s="291">
        <v>1.4455000000000001E-2</v>
      </c>
      <c r="K6" s="273" t="s">
        <v>73</v>
      </c>
      <c r="L6" s="273" t="s">
        <v>73</v>
      </c>
      <c r="M6" s="94">
        <f>G6+$H$6+$I$6+$J$6</f>
        <v>0.160331</v>
      </c>
      <c r="N6" s="263">
        <v>0</v>
      </c>
      <c r="O6" s="293">
        <v>1.2695E-2</v>
      </c>
      <c r="P6" s="95">
        <v>0</v>
      </c>
      <c r="Q6" s="263">
        <v>7.2920000000000007E-3</v>
      </c>
      <c r="R6" s="96">
        <f>$N$6+$O$6+P6+$Q$6</f>
        <v>1.9987000000000001E-2</v>
      </c>
      <c r="S6" s="113">
        <f>$E$6+M6+R6</f>
        <v>0.65414599999999989</v>
      </c>
      <c r="T6" s="53">
        <v>4.3999999999999997E-2</v>
      </c>
      <c r="U6" s="97">
        <f>S6+T6</f>
        <v>0.69814599999999993</v>
      </c>
      <c r="V6" s="125">
        <v>120</v>
      </c>
      <c r="W6" s="114">
        <f>U6*V6</f>
        <v>83.777519999999996</v>
      </c>
    </row>
    <row r="7" spans="1:23" x14ac:dyDescent="0.25">
      <c r="A7" s="34" t="s">
        <v>30</v>
      </c>
      <c r="B7" s="263"/>
      <c r="C7" s="263"/>
      <c r="D7" s="263"/>
      <c r="E7" s="289"/>
      <c r="F7" s="273"/>
      <c r="G7" s="93">
        <v>6.9823999999999997E-2</v>
      </c>
      <c r="H7" s="291"/>
      <c r="I7" s="291"/>
      <c r="J7" s="291"/>
      <c r="K7" s="273"/>
      <c r="L7" s="273"/>
      <c r="M7" s="94">
        <f t="shared" ref="M7:M11" si="0">G7+$H$6+$I$6+$J$6</f>
        <v>0.230155</v>
      </c>
      <c r="N7" s="263"/>
      <c r="O7" s="293"/>
      <c r="P7" s="95">
        <v>4.6199999999999998E-2</v>
      </c>
      <c r="Q7" s="263"/>
      <c r="R7" s="96">
        <f t="shared" ref="R7:R11" si="1">$N$6+$O$6+P7+$Q$6</f>
        <v>6.6186999999999996E-2</v>
      </c>
      <c r="S7" s="113">
        <f t="shared" ref="S7:S10" si="2">$E$6+M7+R7</f>
        <v>0.77017000000000002</v>
      </c>
      <c r="T7" s="53">
        <v>0.17499999999999999</v>
      </c>
      <c r="U7" s="97">
        <f t="shared" ref="U7:U10" si="3">S7+T7</f>
        <v>0.94517000000000007</v>
      </c>
      <c r="V7" s="125">
        <v>360</v>
      </c>
      <c r="W7" s="114">
        <f t="shared" ref="W7:W10" si="4">U7*V7</f>
        <v>340.26120000000003</v>
      </c>
    </row>
    <row r="8" spans="1:23" x14ac:dyDescent="0.25">
      <c r="A8" s="34" t="s">
        <v>31</v>
      </c>
      <c r="B8" s="263"/>
      <c r="C8" s="263"/>
      <c r="D8" s="263"/>
      <c r="E8" s="289"/>
      <c r="F8" s="273"/>
      <c r="G8" s="93">
        <v>6.3909000000000007E-2</v>
      </c>
      <c r="H8" s="291"/>
      <c r="I8" s="291"/>
      <c r="J8" s="291"/>
      <c r="K8" s="273"/>
      <c r="L8" s="273"/>
      <c r="M8" s="94">
        <f t="shared" si="0"/>
        <v>0.22424000000000002</v>
      </c>
      <c r="N8" s="263"/>
      <c r="O8" s="293"/>
      <c r="P8" s="95">
        <v>2.7300000000000001E-2</v>
      </c>
      <c r="Q8" s="263"/>
      <c r="R8" s="96">
        <f t="shared" si="1"/>
        <v>4.7287000000000003E-2</v>
      </c>
      <c r="S8" s="113">
        <f t="shared" si="2"/>
        <v>0.74535499999999999</v>
      </c>
      <c r="T8" s="53">
        <v>0.17</v>
      </c>
      <c r="U8" s="97">
        <f t="shared" si="3"/>
        <v>0.91535500000000003</v>
      </c>
      <c r="V8" s="125">
        <v>1080</v>
      </c>
      <c r="W8" s="114">
        <f t="shared" si="4"/>
        <v>988.58339999999998</v>
      </c>
    </row>
    <row r="9" spans="1:23" x14ac:dyDescent="0.25">
      <c r="A9" s="34" t="s">
        <v>32</v>
      </c>
      <c r="B9" s="263"/>
      <c r="C9" s="263"/>
      <c r="D9" s="263"/>
      <c r="E9" s="289"/>
      <c r="F9" s="273"/>
      <c r="G9" s="93">
        <v>6.4177999999999999E-2</v>
      </c>
      <c r="H9" s="291"/>
      <c r="I9" s="291"/>
      <c r="J9" s="291"/>
      <c r="K9" s="273"/>
      <c r="L9" s="273"/>
      <c r="M9" s="94">
        <f t="shared" si="0"/>
        <v>0.22450899999999999</v>
      </c>
      <c r="N9" s="263"/>
      <c r="O9" s="293"/>
      <c r="P9" s="95">
        <v>2.2100000000000002E-2</v>
      </c>
      <c r="Q9" s="263"/>
      <c r="R9" s="96">
        <f t="shared" si="1"/>
        <v>4.2086999999999999E-2</v>
      </c>
      <c r="S9" s="113">
        <f t="shared" si="2"/>
        <v>0.74042399999999997</v>
      </c>
      <c r="T9" s="53">
        <v>0.186</v>
      </c>
      <c r="U9" s="97">
        <f t="shared" si="3"/>
        <v>0.92642399999999991</v>
      </c>
      <c r="V9" s="125">
        <v>3440</v>
      </c>
      <c r="W9" s="114">
        <f t="shared" si="4"/>
        <v>3186.8985599999996</v>
      </c>
    </row>
    <row r="10" spans="1:23" x14ac:dyDescent="0.25">
      <c r="A10" s="34" t="s">
        <v>33</v>
      </c>
      <c r="B10" s="263"/>
      <c r="C10" s="263"/>
      <c r="D10" s="263"/>
      <c r="E10" s="289"/>
      <c r="F10" s="273"/>
      <c r="G10" s="93">
        <v>4.7953999999999997E-2</v>
      </c>
      <c r="H10" s="291"/>
      <c r="I10" s="291"/>
      <c r="J10" s="291"/>
      <c r="K10" s="273"/>
      <c r="L10" s="273"/>
      <c r="M10" s="94">
        <f t="shared" si="0"/>
        <v>0.208285</v>
      </c>
      <c r="N10" s="263"/>
      <c r="O10" s="293"/>
      <c r="P10" s="95">
        <v>1.5800000000000002E-2</v>
      </c>
      <c r="Q10" s="263"/>
      <c r="R10" s="96">
        <f t="shared" si="1"/>
        <v>3.5786999999999999E-2</v>
      </c>
      <c r="S10" s="113">
        <f t="shared" si="2"/>
        <v>0.71789999999999998</v>
      </c>
      <c r="T10" s="53">
        <v>0.186</v>
      </c>
      <c r="U10" s="97">
        <f t="shared" si="3"/>
        <v>0.90389999999999993</v>
      </c>
      <c r="V10" s="125">
        <v>25000</v>
      </c>
      <c r="W10" s="114">
        <f t="shared" si="4"/>
        <v>22597.499999999996</v>
      </c>
    </row>
    <row r="11" spans="1:23" x14ac:dyDescent="0.25">
      <c r="A11" s="34" t="s">
        <v>34</v>
      </c>
      <c r="B11" s="274"/>
      <c r="C11" s="274"/>
      <c r="D11" s="274"/>
      <c r="E11" s="290"/>
      <c r="F11" s="283"/>
      <c r="G11" s="93">
        <v>2.4291E-2</v>
      </c>
      <c r="H11" s="292"/>
      <c r="I11" s="292"/>
      <c r="J11" s="292"/>
      <c r="K11" s="283"/>
      <c r="L11" s="283"/>
      <c r="M11" s="94">
        <f t="shared" si="0"/>
        <v>0.18462200000000001</v>
      </c>
      <c r="N11" s="274"/>
      <c r="O11" s="294"/>
      <c r="P11" s="98">
        <v>6.6E-3</v>
      </c>
      <c r="Q11" s="274"/>
      <c r="R11" s="96">
        <f t="shared" si="1"/>
        <v>2.6587E-2</v>
      </c>
      <c r="S11" s="115"/>
      <c r="T11" s="116"/>
      <c r="U11" s="117"/>
      <c r="V11" s="118"/>
      <c r="W11" s="119"/>
    </row>
    <row r="12" spans="1:23" x14ac:dyDescent="0.25">
      <c r="A12" s="99" t="s">
        <v>74</v>
      </c>
      <c r="B12" s="100"/>
      <c r="C12" s="101"/>
      <c r="D12" s="100"/>
      <c r="E12" s="102"/>
      <c r="F12" s="103"/>
      <c r="G12" s="100"/>
      <c r="H12" s="104"/>
      <c r="I12" s="100"/>
      <c r="J12" s="100"/>
      <c r="K12" s="100"/>
      <c r="L12" s="100"/>
      <c r="M12" s="102"/>
      <c r="N12" s="102"/>
      <c r="O12" s="101"/>
      <c r="P12" s="104"/>
      <c r="Q12" s="105"/>
      <c r="R12" s="105"/>
      <c r="S12" s="122"/>
      <c r="T12" s="123"/>
      <c r="U12" s="122"/>
      <c r="V12" s="5">
        <f>SUM(V6:V11)</f>
        <v>30000</v>
      </c>
      <c r="W12" s="124">
        <f>SUM(W6:W11)</f>
        <v>27197.020679999994</v>
      </c>
    </row>
    <row r="13" spans="1:23" x14ac:dyDescent="0.25">
      <c r="A13" s="106" t="s">
        <v>75</v>
      </c>
      <c r="B13" s="273" t="s">
        <v>73</v>
      </c>
      <c r="C13" s="273" t="s">
        <v>73</v>
      </c>
      <c r="D13" s="284">
        <v>58.93</v>
      </c>
      <c r="E13" s="275">
        <v>58.93</v>
      </c>
      <c r="F13" s="107">
        <v>67.39</v>
      </c>
      <c r="G13" s="273" t="s">
        <v>73</v>
      </c>
      <c r="H13" s="273" t="s">
        <v>73</v>
      </c>
      <c r="I13" s="273" t="s">
        <v>73</v>
      </c>
      <c r="J13" s="273" t="s">
        <v>73</v>
      </c>
      <c r="K13" s="271">
        <v>-0.25</v>
      </c>
      <c r="L13" s="271">
        <v>0.06</v>
      </c>
      <c r="M13" s="108">
        <f>F13+K13+L13</f>
        <v>67.2</v>
      </c>
      <c r="N13" s="280" t="s">
        <v>73</v>
      </c>
      <c r="O13" s="280" t="s">
        <v>73</v>
      </c>
      <c r="P13" s="271">
        <v>-23.13</v>
      </c>
      <c r="Q13" s="273" t="s">
        <v>73</v>
      </c>
      <c r="R13" s="275">
        <v>-23.13</v>
      </c>
      <c r="S13" s="122"/>
      <c r="T13" s="123"/>
      <c r="U13" s="122"/>
      <c r="V13" s="122"/>
      <c r="W13" s="122"/>
    </row>
    <row r="14" spans="1:23" x14ac:dyDescent="0.25">
      <c r="A14" s="106" t="s">
        <v>76</v>
      </c>
      <c r="B14" s="273"/>
      <c r="C14" s="273"/>
      <c r="D14" s="284"/>
      <c r="E14" s="275"/>
      <c r="F14" s="107">
        <v>469.74</v>
      </c>
      <c r="G14" s="263"/>
      <c r="H14" s="263"/>
      <c r="I14" s="263"/>
      <c r="J14" s="263"/>
      <c r="K14" s="271"/>
      <c r="L14" s="271"/>
      <c r="M14" s="108">
        <f>F14+K13+L13</f>
        <v>469.55</v>
      </c>
      <c r="N14" s="281"/>
      <c r="O14" s="281"/>
      <c r="P14" s="271"/>
      <c r="Q14" s="263"/>
      <c r="R14" s="275"/>
      <c r="S14" s="122"/>
      <c r="T14" s="123"/>
      <c r="U14" s="122"/>
      <c r="V14" s="126" t="s">
        <v>80</v>
      </c>
      <c r="W14" s="127">
        <f>W12/V12</f>
        <v>0.90656735599999982</v>
      </c>
    </row>
    <row r="15" spans="1:23" x14ac:dyDescent="0.25">
      <c r="A15" s="109" t="s">
        <v>77</v>
      </c>
      <c r="B15" s="283"/>
      <c r="C15" s="283"/>
      <c r="D15" s="285"/>
      <c r="E15" s="276"/>
      <c r="F15" s="110">
        <v>975.12000000000012</v>
      </c>
      <c r="G15" s="274"/>
      <c r="H15" s="274"/>
      <c r="I15" s="274"/>
      <c r="J15" s="274"/>
      <c r="K15" s="272"/>
      <c r="L15" s="272"/>
      <c r="M15" s="108">
        <f>F15+K13+L13</f>
        <v>974.93000000000006</v>
      </c>
      <c r="N15" s="282"/>
      <c r="O15" s="282"/>
      <c r="P15" s="272"/>
      <c r="Q15" s="274"/>
      <c r="R15" s="276"/>
    </row>
    <row r="16" spans="1:23" x14ac:dyDescent="0.25">
      <c r="A16" s="112" t="s">
        <v>78</v>
      </c>
      <c r="B16" s="277" t="s">
        <v>79</v>
      </c>
      <c r="C16" s="278"/>
      <c r="D16" s="278"/>
      <c r="E16" s="278"/>
      <c r="F16" s="278"/>
      <c r="G16" s="278"/>
      <c r="H16" s="278"/>
      <c r="I16" s="278"/>
      <c r="J16" s="278"/>
      <c r="K16" s="278"/>
      <c r="L16" s="278"/>
      <c r="M16" s="278"/>
      <c r="N16" s="278"/>
      <c r="O16" s="278"/>
      <c r="P16" s="278"/>
      <c r="Q16" s="278"/>
      <c r="R16" s="279"/>
    </row>
    <row r="20" spans="2:3" x14ac:dyDescent="0.25">
      <c r="B20" s="155" t="s">
        <v>305</v>
      </c>
      <c r="C20" s="158">
        <f>$E$13+M13+$R$13</f>
        <v>103</v>
      </c>
    </row>
    <row r="21" spans="2:3" x14ac:dyDescent="0.25">
      <c r="B21" s="155" t="s">
        <v>306</v>
      </c>
      <c r="C21" s="158">
        <f t="shared" ref="C21" si="5">$E$13+M14+$R$13</f>
        <v>505.35</v>
      </c>
    </row>
    <row r="22" spans="2:3" x14ac:dyDescent="0.25">
      <c r="B22" s="155" t="s">
        <v>307</v>
      </c>
      <c r="C22" s="158">
        <f>$E$13+M15+$R$13</f>
        <v>1010.7300000000001</v>
      </c>
    </row>
  </sheetData>
  <mergeCells count="32">
    <mergeCell ref="Q6:Q11"/>
    <mergeCell ref="E2:E4"/>
    <mergeCell ref="M2:M4"/>
    <mergeCell ref="R2:R4"/>
    <mergeCell ref="B6:B11"/>
    <mergeCell ref="C6:C11"/>
    <mergeCell ref="D6:D11"/>
    <mergeCell ref="E6:E11"/>
    <mergeCell ref="F6:F11"/>
    <mergeCell ref="H6:H11"/>
    <mergeCell ref="I6:I11"/>
    <mergeCell ref="J6:J11"/>
    <mergeCell ref="K6:K11"/>
    <mergeCell ref="L6:L11"/>
    <mergeCell ref="N6:N11"/>
    <mergeCell ref="O6:O11"/>
    <mergeCell ref="P13:P15"/>
    <mergeCell ref="Q13:Q15"/>
    <mergeCell ref="R13:R15"/>
    <mergeCell ref="B16:R16"/>
    <mergeCell ref="I13:I15"/>
    <mergeCell ref="J13:J15"/>
    <mergeCell ref="K13:K15"/>
    <mergeCell ref="L13:L15"/>
    <mergeCell ref="N13:N15"/>
    <mergeCell ref="O13:O15"/>
    <mergeCell ref="B13:B15"/>
    <mergeCell ref="C13:C15"/>
    <mergeCell ref="D13:D15"/>
    <mergeCell ref="E13:E15"/>
    <mergeCell ref="G13:G15"/>
    <mergeCell ref="H13:H1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>
    <tabColor rgb="FF92D050"/>
  </sheetPr>
  <dimension ref="A1:W22"/>
  <sheetViews>
    <sheetView workbookViewId="0">
      <selection activeCell="G23" sqref="G23"/>
    </sheetView>
  </sheetViews>
  <sheetFormatPr defaultRowHeight="15" x14ac:dyDescent="0.25"/>
  <cols>
    <col min="1" max="1" width="25.85546875" customWidth="1"/>
    <col min="22" max="22" width="11.42578125" bestFit="1" customWidth="1"/>
    <col min="23" max="23" width="12" bestFit="1" customWidth="1"/>
  </cols>
  <sheetData>
    <row r="1" spans="1:23" ht="15.75" x14ac:dyDescent="0.25">
      <c r="A1" s="74" t="s">
        <v>62</v>
      </c>
      <c r="B1" s="32"/>
      <c r="C1" s="32"/>
      <c r="D1" s="32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</row>
    <row r="2" spans="1:23" ht="15" customHeight="1" x14ac:dyDescent="0.25">
      <c r="A2" s="77" t="s">
        <v>63</v>
      </c>
      <c r="B2" s="221"/>
      <c r="C2" s="221"/>
      <c r="D2" s="221"/>
      <c r="E2" s="286" t="s">
        <v>64</v>
      </c>
      <c r="F2" s="76"/>
      <c r="G2" s="76"/>
      <c r="H2" s="76"/>
      <c r="I2" s="76"/>
      <c r="J2" s="76"/>
      <c r="K2" s="76"/>
      <c r="L2" s="76"/>
      <c r="M2" s="286" t="s">
        <v>65</v>
      </c>
      <c r="N2" s="78"/>
      <c r="O2" s="75"/>
      <c r="P2" s="75"/>
      <c r="Q2" s="75"/>
      <c r="R2" s="286" t="s">
        <v>66</v>
      </c>
    </row>
    <row r="3" spans="1:23" x14ac:dyDescent="0.25">
      <c r="A3" s="79" t="s">
        <v>614</v>
      </c>
      <c r="B3" s="221"/>
      <c r="C3" s="221"/>
      <c r="D3" s="221"/>
      <c r="E3" s="287"/>
      <c r="F3" s="76"/>
      <c r="G3" s="76"/>
      <c r="H3" s="76"/>
      <c r="I3" s="76"/>
      <c r="J3" s="76"/>
      <c r="K3" s="76"/>
      <c r="L3" s="76"/>
      <c r="M3" s="287"/>
      <c r="N3" s="78"/>
      <c r="O3" s="75"/>
      <c r="P3" s="75"/>
      <c r="Q3" s="75"/>
      <c r="R3" s="287"/>
    </row>
    <row r="4" spans="1:23" x14ac:dyDescent="0.25">
      <c r="A4" s="220" t="s">
        <v>618</v>
      </c>
      <c r="B4" s="81" t="s">
        <v>612</v>
      </c>
      <c r="C4" s="82" t="s">
        <v>40</v>
      </c>
      <c r="D4" s="82" t="s">
        <v>41</v>
      </c>
      <c r="E4" s="288"/>
      <c r="F4" s="222" t="s">
        <v>46</v>
      </c>
      <c r="G4" s="85" t="s">
        <v>47</v>
      </c>
      <c r="H4" s="222" t="s">
        <v>48</v>
      </c>
      <c r="I4" s="85" t="s">
        <v>53</v>
      </c>
      <c r="J4" s="85" t="s">
        <v>49</v>
      </c>
      <c r="K4" s="85" t="s">
        <v>68</v>
      </c>
      <c r="L4" s="86" t="s">
        <v>69</v>
      </c>
      <c r="M4" s="288"/>
      <c r="N4" s="222" t="s">
        <v>51</v>
      </c>
      <c r="O4" s="222" t="s">
        <v>52</v>
      </c>
      <c r="P4" s="85" t="s">
        <v>50</v>
      </c>
      <c r="Q4" s="86" t="s">
        <v>70</v>
      </c>
      <c r="R4" s="288"/>
    </row>
    <row r="5" spans="1:23" ht="25.5" x14ac:dyDescent="0.25">
      <c r="A5" s="33" t="s">
        <v>71</v>
      </c>
      <c r="B5" s="88"/>
      <c r="C5" s="89"/>
      <c r="D5" s="89"/>
      <c r="E5" s="223"/>
      <c r="F5" s="89"/>
      <c r="G5" s="88"/>
      <c r="H5" s="89"/>
      <c r="I5" s="89"/>
      <c r="J5" s="89"/>
      <c r="K5" s="89"/>
      <c r="L5" s="89"/>
      <c r="M5" s="91"/>
      <c r="N5" s="91"/>
      <c r="O5" s="88"/>
      <c r="P5" s="89"/>
      <c r="Q5" s="92"/>
      <c r="R5" s="92"/>
      <c r="S5" s="67" t="s">
        <v>81</v>
      </c>
      <c r="T5" s="120" t="s">
        <v>57</v>
      </c>
      <c r="U5" s="67" t="s">
        <v>82</v>
      </c>
      <c r="V5" s="67" t="s">
        <v>83</v>
      </c>
      <c r="W5" s="121" t="s">
        <v>84</v>
      </c>
    </row>
    <row r="6" spans="1:23" x14ac:dyDescent="0.25">
      <c r="A6" s="34" t="s">
        <v>72</v>
      </c>
      <c r="B6" s="263">
        <v>0.48292200000000002</v>
      </c>
      <c r="C6" s="263">
        <v>2.9033E-2</v>
      </c>
      <c r="D6" s="263">
        <v>7.9459999999999999E-3</v>
      </c>
      <c r="E6" s="295">
        <v>0.51990100000000006</v>
      </c>
      <c r="F6" s="273" t="s">
        <v>73</v>
      </c>
      <c r="G6" s="93">
        <v>0</v>
      </c>
      <c r="H6" s="263">
        <v>0.14469000000000001</v>
      </c>
      <c r="I6" s="263">
        <v>1.186E-3</v>
      </c>
      <c r="J6" s="263">
        <v>1.4455000000000001E-2</v>
      </c>
      <c r="K6" s="273" t="s">
        <v>73</v>
      </c>
      <c r="L6" s="273" t="s">
        <v>73</v>
      </c>
      <c r="M6" s="94">
        <f>G6+$H$6+$I$6+$J$6</f>
        <v>0.160331</v>
      </c>
      <c r="N6" s="263">
        <v>0</v>
      </c>
      <c r="O6" s="293">
        <v>1.2695E-2</v>
      </c>
      <c r="P6" s="95">
        <v>0</v>
      </c>
      <c r="Q6" s="263">
        <v>7.2920000000000007E-3</v>
      </c>
      <c r="R6" s="96">
        <f>$N$6+$O$6+P6+$Q$6</f>
        <v>1.9987000000000001E-2</v>
      </c>
      <c r="S6" s="113">
        <f>$E$6+M6+R6</f>
        <v>0.70021900000000004</v>
      </c>
      <c r="T6" s="53">
        <v>4.3999999999999997E-2</v>
      </c>
      <c r="U6" s="97">
        <f>S6+T6</f>
        <v>0.74421900000000007</v>
      </c>
      <c r="V6" s="125">
        <v>120</v>
      </c>
      <c r="W6" s="114">
        <f>U6*V6</f>
        <v>89.306280000000015</v>
      </c>
    </row>
    <row r="7" spans="1:23" x14ac:dyDescent="0.25">
      <c r="A7" s="34" t="s">
        <v>613</v>
      </c>
      <c r="B7" s="263"/>
      <c r="C7" s="263"/>
      <c r="D7" s="263"/>
      <c r="E7" s="295"/>
      <c r="F7" s="273"/>
      <c r="G7" s="93">
        <v>9.4791000000000014E-2</v>
      </c>
      <c r="H7" s="263"/>
      <c r="I7" s="263"/>
      <c r="J7" s="263"/>
      <c r="K7" s="273"/>
      <c r="L7" s="273"/>
      <c r="M7" s="94">
        <f t="shared" ref="M7:M11" si="0">G7+$H$6+$I$6+$J$6</f>
        <v>0.25512200000000002</v>
      </c>
      <c r="N7" s="263"/>
      <c r="O7" s="293"/>
      <c r="P7" s="95">
        <v>4.6199999999999998E-2</v>
      </c>
      <c r="Q7" s="263"/>
      <c r="R7" s="96">
        <f t="shared" ref="R7:R11" si="1">$N$6+$O$6+P7+$Q$6</f>
        <v>6.6186999999999996E-2</v>
      </c>
      <c r="S7" s="113">
        <f t="shared" ref="S7:S10" si="2">$E$6+M7+R7</f>
        <v>0.84121000000000001</v>
      </c>
      <c r="T7" s="53">
        <v>0.17499999999999999</v>
      </c>
      <c r="U7" s="97">
        <f t="shared" ref="U7:U10" si="3">S7+T7</f>
        <v>1.0162100000000001</v>
      </c>
      <c r="V7" s="125">
        <v>360</v>
      </c>
      <c r="W7" s="114">
        <f t="shared" ref="W7:W10" si="4">U7*V7</f>
        <v>365.8356</v>
      </c>
    </row>
    <row r="8" spans="1:23" x14ac:dyDescent="0.25">
      <c r="A8" s="34" t="s">
        <v>31</v>
      </c>
      <c r="B8" s="263"/>
      <c r="C8" s="263"/>
      <c r="D8" s="263"/>
      <c r="E8" s="295"/>
      <c r="F8" s="273"/>
      <c r="G8" s="93">
        <v>8.6760000000000004E-2</v>
      </c>
      <c r="H8" s="263"/>
      <c r="I8" s="263"/>
      <c r="J8" s="263"/>
      <c r="K8" s="273"/>
      <c r="L8" s="273"/>
      <c r="M8" s="94">
        <f t="shared" si="0"/>
        <v>0.24709100000000001</v>
      </c>
      <c r="N8" s="263"/>
      <c r="O8" s="293"/>
      <c r="P8" s="95">
        <v>2.7300000000000001E-2</v>
      </c>
      <c r="Q8" s="263"/>
      <c r="R8" s="96">
        <f t="shared" si="1"/>
        <v>4.7287000000000003E-2</v>
      </c>
      <c r="S8" s="113">
        <f t="shared" si="2"/>
        <v>0.81427900000000009</v>
      </c>
      <c r="T8" s="53">
        <v>0.17</v>
      </c>
      <c r="U8" s="97">
        <f t="shared" si="3"/>
        <v>0.98427900000000013</v>
      </c>
      <c r="V8" s="125">
        <v>1080</v>
      </c>
      <c r="W8" s="114">
        <f t="shared" si="4"/>
        <v>1063.0213200000001</v>
      </c>
    </row>
    <row r="9" spans="1:23" x14ac:dyDescent="0.25">
      <c r="A9" s="34" t="s">
        <v>32</v>
      </c>
      <c r="B9" s="263"/>
      <c r="C9" s="263"/>
      <c r="D9" s="263"/>
      <c r="E9" s="295"/>
      <c r="F9" s="273"/>
      <c r="G9" s="93">
        <v>8.7125000000000008E-2</v>
      </c>
      <c r="H9" s="263"/>
      <c r="I9" s="263"/>
      <c r="J9" s="263"/>
      <c r="K9" s="273"/>
      <c r="L9" s="273"/>
      <c r="M9" s="94">
        <f t="shared" si="0"/>
        <v>0.24745600000000001</v>
      </c>
      <c r="N9" s="263"/>
      <c r="O9" s="293"/>
      <c r="P9" s="95">
        <v>2.2100000000000002E-2</v>
      </c>
      <c r="Q9" s="263"/>
      <c r="R9" s="96">
        <f t="shared" si="1"/>
        <v>4.2086999999999999E-2</v>
      </c>
      <c r="S9" s="113">
        <f t="shared" si="2"/>
        <v>0.80944400000000005</v>
      </c>
      <c r="T9" s="53">
        <v>0.186</v>
      </c>
      <c r="U9" s="97">
        <f t="shared" si="3"/>
        <v>0.995444</v>
      </c>
      <c r="V9" s="125">
        <v>3440</v>
      </c>
      <c r="W9" s="114">
        <f t="shared" si="4"/>
        <v>3424.3273599999998</v>
      </c>
    </row>
    <row r="10" spans="1:23" x14ac:dyDescent="0.25">
      <c r="A10" s="34" t="s">
        <v>33</v>
      </c>
      <c r="B10" s="263"/>
      <c r="C10" s="263"/>
      <c r="D10" s="263"/>
      <c r="E10" s="295"/>
      <c r="F10" s="273"/>
      <c r="G10" s="93">
        <v>6.5099999999999991E-2</v>
      </c>
      <c r="H10" s="263"/>
      <c r="I10" s="263"/>
      <c r="J10" s="263"/>
      <c r="K10" s="273"/>
      <c r="L10" s="273"/>
      <c r="M10" s="94">
        <f t="shared" si="0"/>
        <v>0.22543099999999999</v>
      </c>
      <c r="N10" s="263"/>
      <c r="O10" s="293"/>
      <c r="P10" s="95">
        <v>1.5800000000000002E-2</v>
      </c>
      <c r="Q10" s="263"/>
      <c r="R10" s="96">
        <f t="shared" si="1"/>
        <v>3.5786999999999999E-2</v>
      </c>
      <c r="S10" s="113">
        <f t="shared" si="2"/>
        <v>0.78111900000000012</v>
      </c>
      <c r="T10" s="53">
        <v>0.186</v>
      </c>
      <c r="U10" s="97">
        <f t="shared" si="3"/>
        <v>0.96711900000000006</v>
      </c>
      <c r="V10" s="125">
        <v>25000</v>
      </c>
      <c r="W10" s="114">
        <f t="shared" si="4"/>
        <v>24177.975000000002</v>
      </c>
    </row>
    <row r="11" spans="1:23" x14ac:dyDescent="0.25">
      <c r="A11" s="34" t="s">
        <v>34</v>
      </c>
      <c r="B11" s="274"/>
      <c r="C11" s="274"/>
      <c r="D11" s="274"/>
      <c r="E11" s="296"/>
      <c r="F11" s="283"/>
      <c r="G11" s="93">
        <v>3.2975999999999998E-2</v>
      </c>
      <c r="H11" s="274"/>
      <c r="I11" s="274"/>
      <c r="J11" s="274"/>
      <c r="K11" s="283"/>
      <c r="L11" s="283"/>
      <c r="M11" s="94">
        <f t="shared" si="0"/>
        <v>0.19330700000000001</v>
      </c>
      <c r="N11" s="274"/>
      <c r="O11" s="294"/>
      <c r="P11" s="98">
        <v>6.6E-3</v>
      </c>
      <c r="Q11" s="274"/>
      <c r="R11" s="96">
        <f t="shared" si="1"/>
        <v>2.6587E-2</v>
      </c>
      <c r="S11" s="115"/>
      <c r="T11" s="116"/>
      <c r="U11" s="117"/>
      <c r="V11" s="118"/>
      <c r="W11" s="119"/>
    </row>
    <row r="12" spans="1:23" x14ac:dyDescent="0.25">
      <c r="A12" s="99" t="s">
        <v>74</v>
      </c>
      <c r="B12" s="100"/>
      <c r="C12" s="101"/>
      <c r="D12" s="100"/>
      <c r="E12" s="102"/>
      <c r="F12" s="103"/>
      <c r="G12" s="100"/>
      <c r="H12" s="104"/>
      <c r="I12" s="100"/>
      <c r="J12" s="100"/>
      <c r="K12" s="100"/>
      <c r="L12" s="100"/>
      <c r="M12" s="102"/>
      <c r="N12" s="102"/>
      <c r="O12" s="101"/>
      <c r="P12" s="104"/>
      <c r="Q12" s="105"/>
      <c r="R12" s="105"/>
      <c r="S12" s="122"/>
      <c r="T12" s="123"/>
      <c r="U12" s="122"/>
      <c r="V12" s="5">
        <f>SUM(V6:V11)</f>
        <v>30000</v>
      </c>
      <c r="W12" s="124">
        <f>SUM(W6:W11)</f>
        <v>29120.465560000004</v>
      </c>
    </row>
    <row r="13" spans="1:23" x14ac:dyDescent="0.25">
      <c r="A13" s="106" t="s">
        <v>75</v>
      </c>
      <c r="B13" s="273" t="s">
        <v>73</v>
      </c>
      <c r="C13" s="273" t="s">
        <v>73</v>
      </c>
      <c r="D13" s="271">
        <v>58.93</v>
      </c>
      <c r="E13" s="275">
        <v>58.93</v>
      </c>
      <c r="F13" s="107">
        <v>77.95</v>
      </c>
      <c r="G13" s="273" t="s">
        <v>73</v>
      </c>
      <c r="H13" s="273" t="s">
        <v>73</v>
      </c>
      <c r="I13" s="273" t="s">
        <v>73</v>
      </c>
      <c r="J13" s="273" t="s">
        <v>73</v>
      </c>
      <c r="K13" s="271">
        <v>0.08</v>
      </c>
      <c r="L13" s="271">
        <v>0</v>
      </c>
      <c r="M13" s="108">
        <f>+F13+K13+L13</f>
        <v>78.03</v>
      </c>
      <c r="N13" s="280" t="s">
        <v>73</v>
      </c>
      <c r="O13" s="280" t="s">
        <v>73</v>
      </c>
      <c r="P13" s="271">
        <v>-23.13</v>
      </c>
      <c r="Q13" s="273" t="s">
        <v>73</v>
      </c>
      <c r="R13" s="275">
        <v>-23.13</v>
      </c>
      <c r="S13" s="122"/>
      <c r="T13" s="123"/>
      <c r="U13" s="122"/>
      <c r="V13" s="122"/>
      <c r="W13" s="122"/>
    </row>
    <row r="14" spans="1:23" x14ac:dyDescent="0.25">
      <c r="A14" s="106" t="s">
        <v>76</v>
      </c>
      <c r="B14" s="263"/>
      <c r="C14" s="263"/>
      <c r="D14" s="271"/>
      <c r="E14" s="275"/>
      <c r="F14" s="107">
        <v>537.88</v>
      </c>
      <c r="G14" s="263"/>
      <c r="H14" s="263"/>
      <c r="I14" s="263"/>
      <c r="J14" s="263"/>
      <c r="K14" s="271"/>
      <c r="L14" s="271"/>
      <c r="M14" s="108">
        <f>+F14+K13+L13</f>
        <v>537.96</v>
      </c>
      <c r="N14" s="281"/>
      <c r="O14" s="281"/>
      <c r="P14" s="271"/>
      <c r="Q14" s="263"/>
      <c r="R14" s="275"/>
      <c r="S14" s="122"/>
      <c r="T14" s="123"/>
      <c r="U14" s="122"/>
      <c r="V14" s="126" t="s">
        <v>80</v>
      </c>
      <c r="W14" s="127">
        <f>W12/V12</f>
        <v>0.9706821853333335</v>
      </c>
    </row>
    <row r="15" spans="1:23" x14ac:dyDescent="0.25">
      <c r="A15" s="109" t="s">
        <v>77</v>
      </c>
      <c r="B15" s="274"/>
      <c r="C15" s="274"/>
      <c r="D15" s="272"/>
      <c r="E15" s="276"/>
      <c r="F15" s="110">
        <v>1137.8000000000002</v>
      </c>
      <c r="G15" s="274"/>
      <c r="H15" s="274"/>
      <c r="I15" s="274"/>
      <c r="J15" s="274"/>
      <c r="K15" s="272"/>
      <c r="L15" s="272"/>
      <c r="M15" s="111">
        <f>+F15+K13+L13</f>
        <v>1137.8800000000001</v>
      </c>
      <c r="N15" s="282"/>
      <c r="O15" s="282"/>
      <c r="P15" s="272"/>
      <c r="Q15" s="274"/>
      <c r="R15" s="276"/>
    </row>
    <row r="16" spans="1:23" x14ac:dyDescent="0.25">
      <c r="A16" s="112" t="s">
        <v>78</v>
      </c>
      <c r="B16" s="277" t="s">
        <v>79</v>
      </c>
      <c r="C16" s="278"/>
      <c r="D16" s="278"/>
      <c r="E16" s="278"/>
      <c r="F16" s="278"/>
      <c r="G16" s="278"/>
      <c r="H16" s="278"/>
      <c r="I16" s="278"/>
      <c r="J16" s="278"/>
      <c r="K16" s="278"/>
      <c r="L16" s="278"/>
      <c r="M16" s="278"/>
      <c r="N16" s="278"/>
      <c r="O16" s="278"/>
      <c r="P16" s="278"/>
      <c r="Q16" s="278"/>
      <c r="R16" s="279"/>
    </row>
    <row r="20" spans="2:3" x14ac:dyDescent="0.25">
      <c r="B20" s="155" t="s">
        <v>305</v>
      </c>
      <c r="C20" s="158">
        <f>$E$13+M13+$R$13</f>
        <v>113.83000000000001</v>
      </c>
    </row>
    <row r="21" spans="2:3" x14ac:dyDescent="0.25">
      <c r="B21" s="155" t="s">
        <v>306</v>
      </c>
      <c r="C21" s="158">
        <f t="shared" ref="C21:C22" si="5">$E$13+M14+$R$13</f>
        <v>573.76</v>
      </c>
    </row>
    <row r="22" spans="2:3" x14ac:dyDescent="0.25">
      <c r="B22" s="155" t="s">
        <v>307</v>
      </c>
      <c r="C22" s="158">
        <f t="shared" si="5"/>
        <v>1173.68</v>
      </c>
    </row>
  </sheetData>
  <mergeCells count="32">
    <mergeCell ref="Q6:Q11"/>
    <mergeCell ref="E2:E4"/>
    <mergeCell ref="M2:M4"/>
    <mergeCell ref="R2:R4"/>
    <mergeCell ref="B6:B11"/>
    <mergeCell ref="C6:C11"/>
    <mergeCell ref="D6:D11"/>
    <mergeCell ref="E6:E11"/>
    <mergeCell ref="F6:F11"/>
    <mergeCell ref="H6:H11"/>
    <mergeCell ref="I6:I11"/>
    <mergeCell ref="J6:J11"/>
    <mergeCell ref="K6:K11"/>
    <mergeCell ref="L6:L11"/>
    <mergeCell ref="N6:N11"/>
    <mergeCell ref="O6:O11"/>
    <mergeCell ref="P13:P15"/>
    <mergeCell ref="Q13:Q15"/>
    <mergeCell ref="R13:R15"/>
    <mergeCell ref="B16:R16"/>
    <mergeCell ref="I13:I15"/>
    <mergeCell ref="J13:J15"/>
    <mergeCell ref="K13:K15"/>
    <mergeCell ref="L13:L15"/>
    <mergeCell ref="N13:N15"/>
    <mergeCell ref="O13:O15"/>
    <mergeCell ref="B13:B15"/>
    <mergeCell ref="C13:C15"/>
    <mergeCell ref="D13:D15"/>
    <mergeCell ref="E13:E15"/>
    <mergeCell ref="G13:G15"/>
    <mergeCell ref="H13:H1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>
    <tabColor rgb="FF92D050"/>
  </sheetPr>
  <dimension ref="A1:W22"/>
  <sheetViews>
    <sheetView workbookViewId="0">
      <selection activeCell="J25" sqref="J25"/>
    </sheetView>
  </sheetViews>
  <sheetFormatPr defaultRowHeight="15" x14ac:dyDescent="0.25"/>
  <cols>
    <col min="1" max="1" width="25" customWidth="1"/>
    <col min="22" max="22" width="11.85546875" bestFit="1" customWidth="1"/>
    <col min="23" max="23" width="12.42578125" bestFit="1" customWidth="1"/>
  </cols>
  <sheetData>
    <row r="1" spans="1:23" ht="37.5" customHeight="1" x14ac:dyDescent="0.25">
      <c r="A1" s="74" t="s">
        <v>62</v>
      </c>
      <c r="B1" s="32"/>
      <c r="C1" s="32"/>
      <c r="D1" s="32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</row>
    <row r="2" spans="1:23" x14ac:dyDescent="0.25">
      <c r="A2" s="77" t="s">
        <v>63</v>
      </c>
      <c r="B2" s="32"/>
      <c r="C2" s="32"/>
      <c r="D2" s="32"/>
      <c r="E2" s="286" t="s">
        <v>64</v>
      </c>
      <c r="F2" s="75"/>
      <c r="G2" s="75"/>
      <c r="H2" s="75"/>
      <c r="I2" s="75"/>
      <c r="J2" s="75"/>
      <c r="K2" s="75"/>
      <c r="L2" s="75"/>
      <c r="M2" s="286" t="s">
        <v>65</v>
      </c>
      <c r="N2" s="78"/>
      <c r="O2" s="75"/>
      <c r="P2" s="75"/>
      <c r="Q2" s="75"/>
      <c r="R2" s="286" t="s">
        <v>66</v>
      </c>
    </row>
    <row r="3" spans="1:23" x14ac:dyDescent="0.25">
      <c r="A3" s="79" t="s">
        <v>614</v>
      </c>
      <c r="B3" s="32"/>
      <c r="C3" s="32"/>
      <c r="D3" s="32"/>
      <c r="E3" s="287"/>
      <c r="F3" s="75"/>
      <c r="G3" s="75"/>
      <c r="H3" s="75"/>
      <c r="I3" s="75"/>
      <c r="J3" s="75"/>
      <c r="K3" s="75"/>
      <c r="L3" s="75"/>
      <c r="M3" s="287"/>
      <c r="N3" s="78"/>
      <c r="O3" s="75"/>
      <c r="P3" s="75"/>
      <c r="Q3" s="75"/>
      <c r="R3" s="287"/>
    </row>
    <row r="4" spans="1:23" x14ac:dyDescent="0.25">
      <c r="A4" s="220" t="s">
        <v>619</v>
      </c>
      <c r="B4" s="81" t="s">
        <v>39</v>
      </c>
      <c r="C4" s="82" t="s">
        <v>40</v>
      </c>
      <c r="D4" s="82" t="s">
        <v>41</v>
      </c>
      <c r="E4" s="288"/>
      <c r="F4" s="83" t="s">
        <v>46</v>
      </c>
      <c r="G4" s="84" t="s">
        <v>47</v>
      </c>
      <c r="H4" s="84" t="s">
        <v>48</v>
      </c>
      <c r="I4" s="84" t="s">
        <v>53</v>
      </c>
      <c r="J4" s="84" t="s">
        <v>49</v>
      </c>
      <c r="K4" s="85" t="s">
        <v>68</v>
      </c>
      <c r="L4" s="86" t="s">
        <v>69</v>
      </c>
      <c r="M4" s="288"/>
      <c r="N4" s="84" t="s">
        <v>51</v>
      </c>
      <c r="O4" s="83" t="s">
        <v>52</v>
      </c>
      <c r="P4" s="87" t="s">
        <v>50</v>
      </c>
      <c r="Q4" s="87" t="s">
        <v>70</v>
      </c>
      <c r="R4" s="288"/>
    </row>
    <row r="5" spans="1:23" ht="25.5" x14ac:dyDescent="0.25">
      <c r="A5" s="33" t="s">
        <v>71</v>
      </c>
      <c r="B5" s="88"/>
      <c r="C5" s="89"/>
      <c r="D5" s="89"/>
      <c r="E5" s="90"/>
      <c r="F5" s="89"/>
      <c r="G5" s="88"/>
      <c r="H5" s="89"/>
      <c r="I5" s="89"/>
      <c r="J5" s="89"/>
      <c r="K5" s="89"/>
      <c r="L5" s="89"/>
      <c r="M5" s="91"/>
      <c r="N5" s="91"/>
      <c r="O5" s="88"/>
      <c r="P5" s="89"/>
      <c r="Q5" s="92"/>
      <c r="R5" s="92"/>
      <c r="S5" s="67" t="s">
        <v>81</v>
      </c>
      <c r="T5" s="120" t="s">
        <v>57</v>
      </c>
      <c r="U5" s="67" t="s">
        <v>82</v>
      </c>
      <c r="V5" s="67" t="s">
        <v>83</v>
      </c>
      <c r="W5" s="121" t="s">
        <v>84</v>
      </c>
    </row>
    <row r="6" spans="1:23" x14ac:dyDescent="0.25">
      <c r="A6" s="34" t="s">
        <v>72</v>
      </c>
      <c r="B6" s="263">
        <v>0.50923300000000005</v>
      </c>
      <c r="C6" s="263">
        <v>2.9033E-2</v>
      </c>
      <c r="D6" s="263">
        <v>7.9459999999999999E-3</v>
      </c>
      <c r="E6" s="289">
        <v>0.54621200000000003</v>
      </c>
      <c r="F6" s="273" t="s">
        <v>73</v>
      </c>
      <c r="G6" s="93">
        <v>0</v>
      </c>
      <c r="H6" s="263">
        <v>0.14469000000000001</v>
      </c>
      <c r="I6" s="263">
        <v>1.186E-3</v>
      </c>
      <c r="J6" s="263">
        <v>1.4455000000000001E-2</v>
      </c>
      <c r="K6" s="273" t="s">
        <v>73</v>
      </c>
      <c r="L6" s="273" t="s">
        <v>73</v>
      </c>
      <c r="M6" s="94">
        <f>G6+$H$6+$I$6+$J$6</f>
        <v>0.160331</v>
      </c>
      <c r="N6" s="263">
        <v>0</v>
      </c>
      <c r="O6" s="293">
        <v>1.2695E-2</v>
      </c>
      <c r="P6" s="95">
        <v>0</v>
      </c>
      <c r="Q6" s="263">
        <v>7.2920000000000007E-3</v>
      </c>
      <c r="R6" s="96">
        <f>$N$6+$O$6+P6+$Q$6</f>
        <v>1.9987000000000001E-2</v>
      </c>
      <c r="S6" s="113">
        <f>$E$6+M6+R6</f>
        <v>0.72653000000000001</v>
      </c>
      <c r="T6" s="53">
        <v>4.3999999999999997E-2</v>
      </c>
      <c r="U6" s="97">
        <f>S6+T6</f>
        <v>0.77053000000000005</v>
      </c>
      <c r="V6" s="125">
        <v>120</v>
      </c>
      <c r="W6" s="114">
        <f>U6*V6</f>
        <v>92.4636</v>
      </c>
    </row>
    <row r="7" spans="1:23" x14ac:dyDescent="0.25">
      <c r="A7" s="34" t="s">
        <v>30</v>
      </c>
      <c r="B7" s="263"/>
      <c r="C7" s="263"/>
      <c r="D7" s="263"/>
      <c r="E7" s="289"/>
      <c r="F7" s="273"/>
      <c r="G7" s="93">
        <v>6.9823999999999997E-2</v>
      </c>
      <c r="H7" s="263"/>
      <c r="I7" s="263"/>
      <c r="J7" s="263"/>
      <c r="K7" s="273"/>
      <c r="L7" s="273"/>
      <c r="M7" s="94">
        <f t="shared" ref="M7:M11" si="0">G7+$H$6+$I$6+$J$6</f>
        <v>0.230155</v>
      </c>
      <c r="N7" s="263"/>
      <c r="O7" s="293"/>
      <c r="P7" s="95">
        <v>4.6199999999999998E-2</v>
      </c>
      <c r="Q7" s="263"/>
      <c r="R7" s="96">
        <f t="shared" ref="R7:R11" si="1">$N$6+$O$6+P7+$Q$6</f>
        <v>6.6186999999999996E-2</v>
      </c>
      <c r="S7" s="113">
        <f t="shared" ref="S7:S10" si="2">$E$6+M7+R7</f>
        <v>0.84255400000000003</v>
      </c>
      <c r="T7" s="53">
        <v>0.17499999999999999</v>
      </c>
      <c r="U7" s="97">
        <f t="shared" ref="U7:U10" si="3">S7+T7</f>
        <v>1.0175540000000001</v>
      </c>
      <c r="V7" s="125">
        <v>360</v>
      </c>
      <c r="W7" s="114">
        <f t="shared" ref="W7:W10" si="4">U7*V7</f>
        <v>366.31944000000004</v>
      </c>
    </row>
    <row r="8" spans="1:23" x14ac:dyDescent="0.25">
      <c r="A8" s="34" t="s">
        <v>31</v>
      </c>
      <c r="B8" s="263"/>
      <c r="C8" s="263"/>
      <c r="D8" s="263"/>
      <c r="E8" s="289"/>
      <c r="F8" s="273"/>
      <c r="G8" s="93">
        <v>6.3909000000000007E-2</v>
      </c>
      <c r="H8" s="263"/>
      <c r="I8" s="263"/>
      <c r="J8" s="263"/>
      <c r="K8" s="273"/>
      <c r="L8" s="273"/>
      <c r="M8" s="94">
        <f t="shared" si="0"/>
        <v>0.22424000000000002</v>
      </c>
      <c r="N8" s="263"/>
      <c r="O8" s="293"/>
      <c r="P8" s="95">
        <v>2.7300000000000001E-2</v>
      </c>
      <c r="Q8" s="263"/>
      <c r="R8" s="96">
        <f t="shared" si="1"/>
        <v>4.7287000000000003E-2</v>
      </c>
      <c r="S8" s="113">
        <f t="shared" si="2"/>
        <v>0.81773899999999999</v>
      </c>
      <c r="T8" s="53">
        <v>0.17</v>
      </c>
      <c r="U8" s="97">
        <f t="shared" si="3"/>
        <v>0.98773900000000003</v>
      </c>
      <c r="V8" s="125">
        <v>1080</v>
      </c>
      <c r="W8" s="114">
        <f t="shared" si="4"/>
        <v>1066.75812</v>
      </c>
    </row>
    <row r="9" spans="1:23" x14ac:dyDescent="0.25">
      <c r="A9" s="34" t="s">
        <v>32</v>
      </c>
      <c r="B9" s="263"/>
      <c r="C9" s="263"/>
      <c r="D9" s="263"/>
      <c r="E9" s="289"/>
      <c r="F9" s="273"/>
      <c r="G9" s="93">
        <v>6.4177999999999999E-2</v>
      </c>
      <c r="H9" s="263"/>
      <c r="I9" s="263"/>
      <c r="J9" s="263"/>
      <c r="K9" s="273"/>
      <c r="L9" s="273"/>
      <c r="M9" s="94">
        <f t="shared" si="0"/>
        <v>0.22450899999999999</v>
      </c>
      <c r="N9" s="263"/>
      <c r="O9" s="293"/>
      <c r="P9" s="95">
        <v>2.2100000000000002E-2</v>
      </c>
      <c r="Q9" s="263"/>
      <c r="R9" s="96">
        <f t="shared" si="1"/>
        <v>4.2086999999999999E-2</v>
      </c>
      <c r="S9" s="113">
        <f t="shared" si="2"/>
        <v>0.81280799999999997</v>
      </c>
      <c r="T9" s="53">
        <v>0.186</v>
      </c>
      <c r="U9" s="97">
        <f t="shared" si="3"/>
        <v>0.99880799999999992</v>
      </c>
      <c r="V9" s="125">
        <v>3440</v>
      </c>
      <c r="W9" s="114">
        <f t="shared" si="4"/>
        <v>3435.8995199999999</v>
      </c>
    </row>
    <row r="10" spans="1:23" x14ac:dyDescent="0.25">
      <c r="A10" s="34" t="s">
        <v>33</v>
      </c>
      <c r="B10" s="263"/>
      <c r="C10" s="263"/>
      <c r="D10" s="263"/>
      <c r="E10" s="289"/>
      <c r="F10" s="273"/>
      <c r="G10" s="93">
        <v>4.7953999999999997E-2</v>
      </c>
      <c r="H10" s="263"/>
      <c r="I10" s="263"/>
      <c r="J10" s="263"/>
      <c r="K10" s="273"/>
      <c r="L10" s="273"/>
      <c r="M10" s="94">
        <f t="shared" si="0"/>
        <v>0.208285</v>
      </c>
      <c r="N10" s="263"/>
      <c r="O10" s="293"/>
      <c r="P10" s="95">
        <v>1.5800000000000002E-2</v>
      </c>
      <c r="Q10" s="263"/>
      <c r="R10" s="96">
        <f t="shared" si="1"/>
        <v>3.5786999999999999E-2</v>
      </c>
      <c r="S10" s="113">
        <f t="shared" si="2"/>
        <v>0.79028399999999999</v>
      </c>
      <c r="T10" s="53">
        <v>0.186</v>
      </c>
      <c r="U10" s="97">
        <f t="shared" si="3"/>
        <v>0.97628399999999993</v>
      </c>
      <c r="V10" s="125">
        <v>25000</v>
      </c>
      <c r="W10" s="114">
        <f t="shared" si="4"/>
        <v>24407.1</v>
      </c>
    </row>
    <row r="11" spans="1:23" x14ac:dyDescent="0.25">
      <c r="A11" s="34" t="s">
        <v>34</v>
      </c>
      <c r="B11" s="274"/>
      <c r="C11" s="274"/>
      <c r="D11" s="274"/>
      <c r="E11" s="290"/>
      <c r="F11" s="283"/>
      <c r="G11" s="93">
        <v>2.4291E-2</v>
      </c>
      <c r="H11" s="274"/>
      <c r="I11" s="274"/>
      <c r="J11" s="274"/>
      <c r="K11" s="283"/>
      <c r="L11" s="283"/>
      <c r="M11" s="94">
        <f t="shared" si="0"/>
        <v>0.18462200000000001</v>
      </c>
      <c r="N11" s="274"/>
      <c r="O11" s="294"/>
      <c r="P11" s="98">
        <v>6.6E-3</v>
      </c>
      <c r="Q11" s="274"/>
      <c r="R11" s="96">
        <f t="shared" si="1"/>
        <v>2.6587E-2</v>
      </c>
      <c r="S11" s="115"/>
      <c r="T11" s="116"/>
      <c r="U11" s="117"/>
      <c r="V11" s="118"/>
      <c r="W11" s="119"/>
    </row>
    <row r="12" spans="1:23" x14ac:dyDescent="0.25">
      <c r="A12" s="99" t="s">
        <v>74</v>
      </c>
      <c r="B12" s="100"/>
      <c r="C12" s="101"/>
      <c r="D12" s="100"/>
      <c r="E12" s="102"/>
      <c r="F12" s="103"/>
      <c r="G12" s="100"/>
      <c r="H12" s="104"/>
      <c r="I12" s="100"/>
      <c r="J12" s="100"/>
      <c r="K12" s="100"/>
      <c r="L12" s="100"/>
      <c r="M12" s="102"/>
      <c r="N12" s="102"/>
      <c r="O12" s="101"/>
      <c r="P12" s="104"/>
      <c r="Q12" s="105"/>
      <c r="R12" s="105"/>
      <c r="S12" s="122"/>
      <c r="T12" s="123"/>
      <c r="U12" s="122"/>
      <c r="V12" s="5">
        <f>SUM(V6:V11)</f>
        <v>30000</v>
      </c>
      <c r="W12" s="124">
        <f>SUM(W6:W11)</f>
        <v>29368.540679999998</v>
      </c>
    </row>
    <row r="13" spans="1:23" x14ac:dyDescent="0.25">
      <c r="A13" s="106" t="s">
        <v>75</v>
      </c>
      <c r="B13" s="273" t="s">
        <v>73</v>
      </c>
      <c r="C13" s="273" t="s">
        <v>73</v>
      </c>
      <c r="D13" s="271">
        <v>58.93</v>
      </c>
      <c r="E13" s="275">
        <f>+D13</f>
        <v>58.93</v>
      </c>
      <c r="F13" s="107">
        <v>67.39</v>
      </c>
      <c r="G13" s="273" t="s">
        <v>73</v>
      </c>
      <c r="H13" s="273" t="s">
        <v>73</v>
      </c>
      <c r="I13" s="273" t="s">
        <v>73</v>
      </c>
      <c r="J13" s="273" t="s">
        <v>73</v>
      </c>
      <c r="K13" s="271">
        <v>-0.25</v>
      </c>
      <c r="L13" s="271">
        <v>0.06</v>
      </c>
      <c r="M13" s="108">
        <f>+F13+K13+L13</f>
        <v>67.2</v>
      </c>
      <c r="N13" s="280" t="s">
        <v>73</v>
      </c>
      <c r="O13" s="280" t="s">
        <v>73</v>
      </c>
      <c r="P13" s="271">
        <v>-23.13</v>
      </c>
      <c r="Q13" s="273" t="s">
        <v>73</v>
      </c>
      <c r="R13" s="275">
        <v>-23.13</v>
      </c>
      <c r="S13" s="122"/>
      <c r="T13" s="123"/>
      <c r="U13" s="122"/>
      <c r="V13" s="122"/>
      <c r="W13" s="122"/>
    </row>
    <row r="14" spans="1:23" x14ac:dyDescent="0.25">
      <c r="A14" s="106" t="s">
        <v>76</v>
      </c>
      <c r="B14" s="263"/>
      <c r="C14" s="263"/>
      <c r="D14" s="271"/>
      <c r="E14" s="275"/>
      <c r="F14" s="107">
        <v>469.74</v>
      </c>
      <c r="G14" s="263"/>
      <c r="H14" s="263"/>
      <c r="I14" s="263"/>
      <c r="J14" s="263"/>
      <c r="K14" s="271"/>
      <c r="L14" s="271"/>
      <c r="M14" s="108">
        <f>+F14+K13+L13</f>
        <v>469.55</v>
      </c>
      <c r="N14" s="281"/>
      <c r="O14" s="281"/>
      <c r="P14" s="271"/>
      <c r="Q14" s="263"/>
      <c r="R14" s="275"/>
      <c r="S14" s="122"/>
      <c r="T14" s="123"/>
      <c r="U14" s="122"/>
      <c r="V14" s="126" t="s">
        <v>80</v>
      </c>
      <c r="W14" s="127">
        <f>W12/V12</f>
        <v>0.97895135599999994</v>
      </c>
    </row>
    <row r="15" spans="1:23" x14ac:dyDescent="0.25">
      <c r="A15" s="109" t="s">
        <v>77</v>
      </c>
      <c r="B15" s="274"/>
      <c r="C15" s="274"/>
      <c r="D15" s="272"/>
      <c r="E15" s="276"/>
      <c r="F15" s="110">
        <v>975.12000000000012</v>
      </c>
      <c r="G15" s="274"/>
      <c r="H15" s="274"/>
      <c r="I15" s="274"/>
      <c r="J15" s="274"/>
      <c r="K15" s="272"/>
      <c r="L15" s="272"/>
      <c r="M15" s="111">
        <f>+F15+K13+L13</f>
        <v>974.93000000000006</v>
      </c>
      <c r="N15" s="282"/>
      <c r="O15" s="282"/>
      <c r="P15" s="272"/>
      <c r="Q15" s="274"/>
      <c r="R15" s="276"/>
    </row>
    <row r="16" spans="1:23" x14ac:dyDescent="0.25">
      <c r="A16" s="112" t="s">
        <v>78</v>
      </c>
      <c r="B16" s="277" t="s">
        <v>79</v>
      </c>
      <c r="C16" s="278"/>
      <c r="D16" s="278"/>
      <c r="E16" s="278"/>
      <c r="F16" s="278"/>
      <c r="G16" s="278"/>
      <c r="H16" s="278"/>
      <c r="I16" s="278"/>
      <c r="J16" s="278"/>
      <c r="K16" s="278"/>
      <c r="L16" s="278"/>
      <c r="M16" s="278"/>
      <c r="N16" s="278"/>
      <c r="O16" s="278"/>
      <c r="P16" s="278"/>
      <c r="Q16" s="278"/>
      <c r="R16" s="279"/>
    </row>
    <row r="20" spans="2:3" x14ac:dyDescent="0.25">
      <c r="B20" s="155" t="s">
        <v>305</v>
      </c>
      <c r="C20" s="158">
        <f>$E$13+M13+$R$13</f>
        <v>103</v>
      </c>
    </row>
    <row r="21" spans="2:3" x14ac:dyDescent="0.25">
      <c r="B21" s="155" t="s">
        <v>306</v>
      </c>
      <c r="C21" s="158">
        <f t="shared" ref="C21:C22" si="5">$E$13+M14+$R$13</f>
        <v>505.35</v>
      </c>
    </row>
    <row r="22" spans="2:3" x14ac:dyDescent="0.25">
      <c r="B22" s="155" t="s">
        <v>307</v>
      </c>
      <c r="C22" s="158">
        <f t="shared" si="5"/>
        <v>1010.7300000000001</v>
      </c>
    </row>
  </sheetData>
  <mergeCells count="32">
    <mergeCell ref="Q6:Q11"/>
    <mergeCell ref="E2:E4"/>
    <mergeCell ref="M2:M4"/>
    <mergeCell ref="R2:R4"/>
    <mergeCell ref="B6:B11"/>
    <mergeCell ref="C6:C11"/>
    <mergeCell ref="D6:D11"/>
    <mergeCell ref="E6:E11"/>
    <mergeCell ref="F6:F11"/>
    <mergeCell ref="H6:H11"/>
    <mergeCell ref="I6:I11"/>
    <mergeCell ref="J6:J11"/>
    <mergeCell ref="K6:K11"/>
    <mergeCell ref="L6:L11"/>
    <mergeCell ref="N6:N11"/>
    <mergeCell ref="O6:O11"/>
    <mergeCell ref="P13:P15"/>
    <mergeCell ref="Q13:Q15"/>
    <mergeCell ref="R13:R15"/>
    <mergeCell ref="B16:R16"/>
    <mergeCell ref="I13:I15"/>
    <mergeCell ref="J13:J15"/>
    <mergeCell ref="K13:K15"/>
    <mergeCell ref="L13:L15"/>
    <mergeCell ref="N13:N15"/>
    <mergeCell ref="O13:O15"/>
    <mergeCell ref="B13:B15"/>
    <mergeCell ref="C13:C15"/>
    <mergeCell ref="D13:D15"/>
    <mergeCell ref="E13:E15"/>
    <mergeCell ref="G13:G15"/>
    <mergeCell ref="H13:H1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>
    <tabColor rgb="FF92D050"/>
  </sheetPr>
  <dimension ref="A1:W22"/>
  <sheetViews>
    <sheetView workbookViewId="0">
      <selection activeCell="I25" sqref="I25"/>
    </sheetView>
  </sheetViews>
  <sheetFormatPr defaultRowHeight="15" x14ac:dyDescent="0.25"/>
  <cols>
    <col min="1" max="1" width="22.28515625" customWidth="1"/>
    <col min="22" max="22" width="11.85546875" bestFit="1" customWidth="1"/>
    <col min="23" max="23" width="12.42578125" bestFit="1" customWidth="1"/>
  </cols>
  <sheetData>
    <row r="1" spans="1:23" ht="15.75" x14ac:dyDescent="0.25">
      <c r="A1" s="74" t="s">
        <v>62</v>
      </c>
      <c r="B1" s="32"/>
      <c r="C1" s="32"/>
      <c r="D1" s="32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</row>
    <row r="2" spans="1:23" ht="25.5" x14ac:dyDescent="0.25">
      <c r="A2" s="77" t="s">
        <v>63</v>
      </c>
      <c r="B2" s="32"/>
      <c r="C2" s="32"/>
      <c r="D2" s="32"/>
      <c r="E2" s="286" t="s">
        <v>64</v>
      </c>
      <c r="F2" s="75"/>
      <c r="G2" s="75"/>
      <c r="H2" s="75"/>
      <c r="I2" s="75"/>
      <c r="J2" s="75"/>
      <c r="K2" s="75"/>
      <c r="L2" s="75"/>
      <c r="M2" s="286" t="s">
        <v>65</v>
      </c>
      <c r="N2" s="78"/>
      <c r="O2" s="75"/>
      <c r="P2" s="75"/>
      <c r="Q2" s="75"/>
      <c r="R2" s="286" t="s">
        <v>66</v>
      </c>
    </row>
    <row r="3" spans="1:23" x14ac:dyDescent="0.25">
      <c r="A3" s="79" t="s">
        <v>614</v>
      </c>
      <c r="B3" s="32"/>
      <c r="C3" s="32"/>
      <c r="D3" s="32"/>
      <c r="E3" s="287"/>
      <c r="F3" s="75"/>
      <c r="G3" s="75"/>
      <c r="H3" s="75"/>
      <c r="I3" s="75"/>
      <c r="J3" s="75"/>
      <c r="K3" s="75"/>
      <c r="L3" s="75"/>
      <c r="M3" s="287"/>
      <c r="N3" s="78"/>
      <c r="O3" s="75"/>
      <c r="P3" s="75"/>
      <c r="Q3" s="75"/>
      <c r="R3" s="287"/>
    </row>
    <row r="4" spans="1:23" x14ac:dyDescent="0.25">
      <c r="A4" s="220" t="s">
        <v>620</v>
      </c>
      <c r="B4" s="81" t="s">
        <v>39</v>
      </c>
      <c r="C4" s="82" t="s">
        <v>40</v>
      </c>
      <c r="D4" s="82" t="s">
        <v>41</v>
      </c>
      <c r="E4" s="288"/>
      <c r="F4" s="83" t="s">
        <v>46</v>
      </c>
      <c r="G4" s="84" t="s">
        <v>47</v>
      </c>
      <c r="H4" s="84" t="s">
        <v>48</v>
      </c>
      <c r="I4" s="84" t="s">
        <v>53</v>
      </c>
      <c r="J4" s="84" t="s">
        <v>49</v>
      </c>
      <c r="K4" s="85" t="s">
        <v>68</v>
      </c>
      <c r="L4" s="86" t="s">
        <v>69</v>
      </c>
      <c r="M4" s="288"/>
      <c r="N4" s="84" t="s">
        <v>51</v>
      </c>
      <c r="O4" s="83" t="s">
        <v>52</v>
      </c>
      <c r="P4" s="87" t="s">
        <v>50</v>
      </c>
      <c r="Q4" s="87" t="s">
        <v>70</v>
      </c>
      <c r="R4" s="288"/>
    </row>
    <row r="5" spans="1:23" ht="25.5" x14ac:dyDescent="0.25">
      <c r="A5" s="33" t="s">
        <v>71</v>
      </c>
      <c r="B5" s="224"/>
      <c r="C5" s="225"/>
      <c r="D5" s="225"/>
      <c r="E5" s="90"/>
      <c r="F5" s="225"/>
      <c r="G5" s="224"/>
      <c r="H5" s="225"/>
      <c r="I5" s="225"/>
      <c r="J5" s="225"/>
      <c r="K5" s="225"/>
      <c r="L5" s="225"/>
      <c r="M5" s="91"/>
      <c r="N5" s="91"/>
      <c r="O5" s="224"/>
      <c r="P5" s="225"/>
      <c r="Q5" s="233"/>
      <c r="R5" s="92"/>
      <c r="S5" s="67" t="s">
        <v>81</v>
      </c>
      <c r="T5" s="120" t="s">
        <v>57</v>
      </c>
      <c r="U5" s="67" t="s">
        <v>82</v>
      </c>
      <c r="V5" s="67" t="s">
        <v>83</v>
      </c>
      <c r="W5" s="121" t="s">
        <v>84</v>
      </c>
    </row>
    <row r="6" spans="1:23" x14ac:dyDescent="0.25">
      <c r="A6" s="34" t="s">
        <v>72</v>
      </c>
      <c r="B6" s="291">
        <v>0.53357600000000005</v>
      </c>
      <c r="C6" s="291">
        <v>2.9033E-2</v>
      </c>
      <c r="D6" s="291">
        <v>7.9459999999999999E-3</v>
      </c>
      <c r="E6" s="289">
        <v>0.57055500000000003</v>
      </c>
      <c r="F6" s="297" t="s">
        <v>73</v>
      </c>
      <c r="G6" s="228">
        <v>0</v>
      </c>
      <c r="H6" s="291">
        <v>0.11033900000000001</v>
      </c>
      <c r="I6" s="291">
        <v>1.186E-3</v>
      </c>
      <c r="J6" s="291">
        <v>3.4837E-2</v>
      </c>
      <c r="K6" s="297" t="s">
        <v>73</v>
      </c>
      <c r="L6" s="297" t="s">
        <v>73</v>
      </c>
      <c r="M6" s="94">
        <f>G6+$H$6+$I$6+$J$6</f>
        <v>0.14636200000000002</v>
      </c>
      <c r="N6" s="263"/>
      <c r="O6" s="299">
        <v>1.2695E-2</v>
      </c>
      <c r="P6" s="234">
        <v>0</v>
      </c>
      <c r="Q6" s="291">
        <v>7.2920000000000007E-3</v>
      </c>
      <c r="R6" s="96">
        <f>$N$6+$O$6+P6+$Q$6</f>
        <v>1.9987000000000001E-2</v>
      </c>
      <c r="S6" s="113">
        <f>$E$6+M6+R6</f>
        <v>0.736904</v>
      </c>
      <c r="T6" s="53">
        <v>4.3999999999999997E-2</v>
      </c>
      <c r="U6" s="97">
        <f>S6+T6</f>
        <v>0.78090400000000004</v>
      </c>
      <c r="V6" s="125">
        <v>120</v>
      </c>
      <c r="W6" s="114">
        <f>U6*V6</f>
        <v>93.708480000000009</v>
      </c>
    </row>
    <row r="7" spans="1:23" x14ac:dyDescent="0.25">
      <c r="A7" s="34" t="s">
        <v>30</v>
      </c>
      <c r="B7" s="291"/>
      <c r="C7" s="291"/>
      <c r="D7" s="291"/>
      <c r="E7" s="289"/>
      <c r="F7" s="297"/>
      <c r="G7" s="228">
        <v>9.767300000000001E-2</v>
      </c>
      <c r="H7" s="291"/>
      <c r="I7" s="291"/>
      <c r="J7" s="291"/>
      <c r="K7" s="297"/>
      <c r="L7" s="297"/>
      <c r="M7" s="94">
        <f t="shared" ref="M7:M11" si="0">G7+$H$6+$I$6+$J$6</f>
        <v>0.24403500000000003</v>
      </c>
      <c r="N7" s="263"/>
      <c r="O7" s="299"/>
      <c r="P7" s="234">
        <v>4.6199999999999998E-2</v>
      </c>
      <c r="Q7" s="291"/>
      <c r="R7" s="96">
        <f t="shared" ref="R7:R11" si="1">$N$6+$O$6+P7+$Q$6</f>
        <v>6.6186999999999996E-2</v>
      </c>
      <c r="S7" s="113">
        <f t="shared" ref="S7:S10" si="2">$E$6+M7+R7</f>
        <v>0.88077700000000003</v>
      </c>
      <c r="T7" s="53">
        <v>0.17499999999999999</v>
      </c>
      <c r="U7" s="97">
        <f t="shared" ref="U7:U10" si="3">S7+T7</f>
        <v>1.055777</v>
      </c>
      <c r="V7" s="125">
        <v>360</v>
      </c>
      <c r="W7" s="114">
        <f t="shared" ref="W7:W10" si="4">U7*V7</f>
        <v>380.07972000000001</v>
      </c>
    </row>
    <row r="8" spans="1:23" x14ac:dyDescent="0.25">
      <c r="A8" s="34" t="s">
        <v>31</v>
      </c>
      <c r="B8" s="291"/>
      <c r="C8" s="291"/>
      <c r="D8" s="291"/>
      <c r="E8" s="289"/>
      <c r="F8" s="297"/>
      <c r="G8" s="228">
        <v>8.9398000000000005E-2</v>
      </c>
      <c r="H8" s="291"/>
      <c r="I8" s="291"/>
      <c r="J8" s="291"/>
      <c r="K8" s="297"/>
      <c r="L8" s="297"/>
      <c r="M8" s="94">
        <f t="shared" si="0"/>
        <v>0.23576</v>
      </c>
      <c r="N8" s="263"/>
      <c r="O8" s="299"/>
      <c r="P8" s="234">
        <v>2.7300000000000001E-2</v>
      </c>
      <c r="Q8" s="291"/>
      <c r="R8" s="96">
        <f t="shared" si="1"/>
        <v>4.7287000000000003E-2</v>
      </c>
      <c r="S8" s="113">
        <f t="shared" si="2"/>
        <v>0.85360199999999997</v>
      </c>
      <c r="T8" s="53">
        <v>0.17</v>
      </c>
      <c r="U8" s="97">
        <f t="shared" si="3"/>
        <v>1.0236019999999999</v>
      </c>
      <c r="V8" s="125">
        <v>1080</v>
      </c>
      <c r="W8" s="114">
        <f t="shared" si="4"/>
        <v>1105.4901599999998</v>
      </c>
    </row>
    <row r="9" spans="1:23" x14ac:dyDescent="0.25">
      <c r="A9" s="34" t="s">
        <v>32</v>
      </c>
      <c r="B9" s="291"/>
      <c r="C9" s="291"/>
      <c r="D9" s="291"/>
      <c r="E9" s="289"/>
      <c r="F9" s="297"/>
      <c r="G9" s="228">
        <v>8.9773999999999993E-2</v>
      </c>
      <c r="H9" s="291"/>
      <c r="I9" s="291"/>
      <c r="J9" s="291"/>
      <c r="K9" s="297"/>
      <c r="L9" s="297"/>
      <c r="M9" s="94">
        <f t="shared" si="0"/>
        <v>0.23613599999999998</v>
      </c>
      <c r="N9" s="263"/>
      <c r="O9" s="299"/>
      <c r="P9" s="234">
        <v>2.2100000000000002E-2</v>
      </c>
      <c r="Q9" s="291"/>
      <c r="R9" s="96">
        <f t="shared" si="1"/>
        <v>4.2086999999999999E-2</v>
      </c>
      <c r="S9" s="113">
        <f t="shared" si="2"/>
        <v>0.84877800000000003</v>
      </c>
      <c r="T9" s="53">
        <v>0.186</v>
      </c>
      <c r="U9" s="97">
        <f t="shared" si="3"/>
        <v>1.034778</v>
      </c>
      <c r="V9" s="125">
        <v>3440</v>
      </c>
      <c r="W9" s="114">
        <f t="shared" si="4"/>
        <v>3559.6363200000001</v>
      </c>
    </row>
    <row r="10" spans="1:23" x14ac:dyDescent="0.25">
      <c r="A10" s="34" t="s">
        <v>33</v>
      </c>
      <c r="B10" s="291"/>
      <c r="C10" s="291"/>
      <c r="D10" s="291"/>
      <c r="E10" s="289"/>
      <c r="F10" s="297"/>
      <c r="G10" s="228">
        <v>6.7080000000000001E-2</v>
      </c>
      <c r="H10" s="291"/>
      <c r="I10" s="291"/>
      <c r="J10" s="291"/>
      <c r="K10" s="297"/>
      <c r="L10" s="297"/>
      <c r="M10" s="94">
        <f t="shared" si="0"/>
        <v>0.21344199999999999</v>
      </c>
      <c r="N10" s="263"/>
      <c r="O10" s="299"/>
      <c r="P10" s="234">
        <v>1.5800000000000002E-2</v>
      </c>
      <c r="Q10" s="291"/>
      <c r="R10" s="96">
        <f t="shared" si="1"/>
        <v>3.5786999999999999E-2</v>
      </c>
      <c r="S10" s="113">
        <f t="shared" si="2"/>
        <v>0.81978400000000007</v>
      </c>
      <c r="T10" s="53">
        <v>0.186</v>
      </c>
      <c r="U10" s="97">
        <f t="shared" si="3"/>
        <v>1.005784</v>
      </c>
      <c r="V10" s="125">
        <v>25000</v>
      </c>
      <c r="W10" s="114">
        <f t="shared" si="4"/>
        <v>25144.6</v>
      </c>
    </row>
    <row r="11" spans="1:23" x14ac:dyDescent="0.25">
      <c r="A11" s="34" t="s">
        <v>34</v>
      </c>
      <c r="B11" s="292"/>
      <c r="C11" s="292"/>
      <c r="D11" s="292"/>
      <c r="E11" s="290"/>
      <c r="F11" s="298"/>
      <c r="G11" s="228">
        <v>3.3979000000000002E-2</v>
      </c>
      <c r="H11" s="292"/>
      <c r="I11" s="292"/>
      <c r="J11" s="292"/>
      <c r="K11" s="298"/>
      <c r="L11" s="298"/>
      <c r="M11" s="94">
        <f t="shared" si="0"/>
        <v>0.180341</v>
      </c>
      <c r="N11" s="274"/>
      <c r="O11" s="300"/>
      <c r="P11" s="235">
        <v>6.6E-3</v>
      </c>
      <c r="Q11" s="292"/>
      <c r="R11" s="96">
        <f t="shared" si="1"/>
        <v>2.6587E-2</v>
      </c>
      <c r="S11" s="115"/>
      <c r="T11" s="116"/>
      <c r="U11" s="117"/>
      <c r="V11" s="118"/>
      <c r="W11" s="119"/>
    </row>
    <row r="12" spans="1:23" x14ac:dyDescent="0.25">
      <c r="A12" s="99" t="s">
        <v>74</v>
      </c>
      <c r="B12" s="226"/>
      <c r="C12" s="227"/>
      <c r="D12" s="226"/>
      <c r="E12" s="102"/>
      <c r="F12" s="229"/>
      <c r="G12" s="226"/>
      <c r="H12" s="230"/>
      <c r="I12" s="226"/>
      <c r="J12" s="226"/>
      <c r="K12" s="226"/>
      <c r="L12" s="226"/>
      <c r="M12" s="102"/>
      <c r="N12" s="102"/>
      <c r="O12" s="226"/>
      <c r="P12" s="230"/>
      <c r="Q12" s="236"/>
      <c r="R12" s="105"/>
      <c r="S12" s="122"/>
      <c r="T12" s="123"/>
      <c r="U12" s="122"/>
      <c r="V12" s="5">
        <f>SUM(V6:V11)</f>
        <v>30000</v>
      </c>
      <c r="W12" s="124">
        <f>SUM(W6:W11)</f>
        <v>30283.51468</v>
      </c>
    </row>
    <row r="13" spans="1:23" x14ac:dyDescent="0.25">
      <c r="A13" s="106" t="s">
        <v>75</v>
      </c>
      <c r="B13" s="297" t="s">
        <v>73</v>
      </c>
      <c r="C13" s="297" t="s">
        <v>73</v>
      </c>
      <c r="D13" s="284">
        <v>58.93</v>
      </c>
      <c r="E13" s="275">
        <v>58.93</v>
      </c>
      <c r="F13" s="231">
        <v>67.290000000000006</v>
      </c>
      <c r="G13" s="297" t="s">
        <v>73</v>
      </c>
      <c r="H13" s="297" t="s">
        <v>73</v>
      </c>
      <c r="I13" s="297" t="s">
        <v>73</v>
      </c>
      <c r="J13" s="297" t="s">
        <v>73</v>
      </c>
      <c r="K13" s="284">
        <v>-0.33</v>
      </c>
      <c r="L13" s="284">
        <v>0</v>
      </c>
      <c r="M13" s="108">
        <f>+F13+K13+L13</f>
        <v>66.960000000000008</v>
      </c>
      <c r="N13" s="273" t="s">
        <v>73</v>
      </c>
      <c r="O13" s="297" t="s">
        <v>73</v>
      </c>
      <c r="P13" s="284">
        <v>-23.13</v>
      </c>
      <c r="Q13" s="297" t="s">
        <v>73</v>
      </c>
      <c r="R13" s="275">
        <v>-23.13</v>
      </c>
      <c r="S13" s="122"/>
      <c r="T13" s="123"/>
      <c r="U13" s="122"/>
      <c r="V13" s="122"/>
      <c r="W13" s="122"/>
    </row>
    <row r="14" spans="1:23" x14ac:dyDescent="0.25">
      <c r="A14" s="106" t="s">
        <v>76</v>
      </c>
      <c r="B14" s="291"/>
      <c r="C14" s="291"/>
      <c r="D14" s="284"/>
      <c r="E14" s="275"/>
      <c r="F14" s="231">
        <v>469.33000000000004</v>
      </c>
      <c r="G14" s="291"/>
      <c r="H14" s="291"/>
      <c r="I14" s="291"/>
      <c r="J14" s="291"/>
      <c r="K14" s="284"/>
      <c r="L14" s="284"/>
      <c r="M14" s="108">
        <f>+F14+K13+L13</f>
        <v>469.00000000000006</v>
      </c>
      <c r="N14" s="273"/>
      <c r="O14" s="291"/>
      <c r="P14" s="284"/>
      <c r="Q14" s="291"/>
      <c r="R14" s="275"/>
      <c r="S14" s="122"/>
      <c r="T14" s="123"/>
      <c r="U14" s="122"/>
      <c r="V14" s="126" t="s">
        <v>80</v>
      </c>
      <c r="W14" s="127">
        <f>W12/V12</f>
        <v>1.0094504893333334</v>
      </c>
    </row>
    <row r="15" spans="1:23" x14ac:dyDescent="0.25">
      <c r="A15" s="109" t="s">
        <v>77</v>
      </c>
      <c r="B15" s="292"/>
      <c r="C15" s="292"/>
      <c r="D15" s="285"/>
      <c r="E15" s="276"/>
      <c r="F15" s="232">
        <v>964.39</v>
      </c>
      <c r="G15" s="292"/>
      <c r="H15" s="292"/>
      <c r="I15" s="292"/>
      <c r="J15" s="292"/>
      <c r="K15" s="285"/>
      <c r="L15" s="285"/>
      <c r="M15" s="111">
        <f>+F15+K13+L13</f>
        <v>964.06</v>
      </c>
      <c r="N15" s="283"/>
      <c r="O15" s="292"/>
      <c r="P15" s="285"/>
      <c r="Q15" s="292"/>
      <c r="R15" s="276"/>
    </row>
    <row r="16" spans="1:23" x14ac:dyDescent="0.25">
      <c r="A16" s="112" t="s">
        <v>78</v>
      </c>
      <c r="B16" s="277" t="s">
        <v>79</v>
      </c>
      <c r="C16" s="278"/>
      <c r="D16" s="278"/>
      <c r="E16" s="278"/>
      <c r="F16" s="278"/>
      <c r="G16" s="278"/>
      <c r="H16" s="278"/>
      <c r="I16" s="278"/>
      <c r="J16" s="278"/>
      <c r="K16" s="278"/>
      <c r="L16" s="278"/>
      <c r="M16" s="278"/>
      <c r="N16" s="278"/>
      <c r="O16" s="278"/>
      <c r="P16" s="278"/>
      <c r="Q16" s="278"/>
      <c r="R16" s="279"/>
    </row>
    <row r="20" spans="2:3" x14ac:dyDescent="0.25">
      <c r="B20" s="155" t="s">
        <v>305</v>
      </c>
      <c r="C20" s="158">
        <f>$E$13+M13+$R$13</f>
        <v>102.76000000000002</v>
      </c>
    </row>
    <row r="21" spans="2:3" x14ac:dyDescent="0.25">
      <c r="B21" s="155" t="s">
        <v>306</v>
      </c>
      <c r="C21" s="158">
        <f t="shared" ref="C21:C22" si="5">$E$13+M14+$R$13</f>
        <v>504.80000000000007</v>
      </c>
    </row>
    <row r="22" spans="2:3" x14ac:dyDescent="0.25">
      <c r="B22" s="155" t="s">
        <v>307</v>
      </c>
      <c r="C22" s="158">
        <f t="shared" si="5"/>
        <v>999.8599999999999</v>
      </c>
    </row>
  </sheetData>
  <mergeCells count="32">
    <mergeCell ref="Q6:Q11"/>
    <mergeCell ref="E2:E4"/>
    <mergeCell ref="M2:M4"/>
    <mergeCell ref="R2:R4"/>
    <mergeCell ref="B6:B11"/>
    <mergeCell ref="C6:C11"/>
    <mergeCell ref="D6:D11"/>
    <mergeCell ref="E6:E11"/>
    <mergeCell ref="F6:F11"/>
    <mergeCell ref="H6:H11"/>
    <mergeCell ref="I6:I11"/>
    <mergeCell ref="J6:J11"/>
    <mergeCell ref="K6:K11"/>
    <mergeCell ref="L6:L11"/>
    <mergeCell ref="N6:N11"/>
    <mergeCell ref="O6:O11"/>
    <mergeCell ref="P13:P15"/>
    <mergeCell ref="Q13:Q15"/>
    <mergeCell ref="R13:R15"/>
    <mergeCell ref="B16:R16"/>
    <mergeCell ref="I13:I15"/>
    <mergeCell ref="J13:J15"/>
    <mergeCell ref="K13:K15"/>
    <mergeCell ref="L13:L15"/>
    <mergeCell ref="N13:N15"/>
    <mergeCell ref="O13:O15"/>
    <mergeCell ref="B13:B15"/>
    <mergeCell ref="C13:C15"/>
    <mergeCell ref="D13:D15"/>
    <mergeCell ref="E13:E15"/>
    <mergeCell ref="G13:G15"/>
    <mergeCell ref="H13:H1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C3C04-F701-42A1-ABF2-1DDD21B602BD}">
  <sheetPr codeName="Foglio7">
    <tabColor rgb="FF92D050"/>
  </sheetPr>
  <dimension ref="A1:W22"/>
  <sheetViews>
    <sheetView workbookViewId="0">
      <selection activeCell="G24" sqref="G24"/>
    </sheetView>
  </sheetViews>
  <sheetFormatPr defaultRowHeight="15" x14ac:dyDescent="0.25"/>
  <cols>
    <col min="1" max="1" width="22.28515625" customWidth="1"/>
    <col min="22" max="22" width="11.85546875" bestFit="1" customWidth="1"/>
    <col min="23" max="23" width="12.42578125" bestFit="1" customWidth="1"/>
  </cols>
  <sheetData>
    <row r="1" spans="1:23" ht="15.75" x14ac:dyDescent="0.25">
      <c r="A1" s="74" t="s">
        <v>62</v>
      </c>
      <c r="B1" s="32"/>
      <c r="C1" s="32"/>
      <c r="D1" s="32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</row>
    <row r="2" spans="1:23" ht="25.5" x14ac:dyDescent="0.25">
      <c r="A2" s="77" t="s">
        <v>63</v>
      </c>
      <c r="B2" s="32"/>
      <c r="C2" s="32"/>
      <c r="D2" s="32"/>
      <c r="E2" s="286" t="s">
        <v>64</v>
      </c>
      <c r="F2" s="75"/>
      <c r="G2" s="75"/>
      <c r="H2" s="75"/>
      <c r="I2" s="75"/>
      <c r="J2" s="75"/>
      <c r="K2" s="75"/>
      <c r="L2" s="75"/>
      <c r="M2" s="286" t="s">
        <v>65</v>
      </c>
      <c r="N2" s="78"/>
      <c r="O2" s="75"/>
      <c r="P2" s="75"/>
      <c r="Q2" s="75"/>
      <c r="R2" s="286" t="s">
        <v>66</v>
      </c>
    </row>
    <row r="3" spans="1:23" x14ac:dyDescent="0.25">
      <c r="A3" s="79" t="s">
        <v>614</v>
      </c>
      <c r="B3" s="32"/>
      <c r="C3" s="32"/>
      <c r="D3" s="32"/>
      <c r="E3" s="287"/>
      <c r="F3" s="75"/>
      <c r="G3" s="75"/>
      <c r="H3" s="75"/>
      <c r="I3" s="75"/>
      <c r="J3" s="75"/>
      <c r="K3" s="75"/>
      <c r="L3" s="75"/>
      <c r="M3" s="287"/>
      <c r="N3" s="78"/>
      <c r="O3" s="75"/>
      <c r="P3" s="75"/>
      <c r="Q3" s="75"/>
      <c r="R3" s="287"/>
    </row>
    <row r="4" spans="1:23" x14ac:dyDescent="0.25">
      <c r="A4" s="220" t="s">
        <v>621</v>
      </c>
      <c r="B4" s="81" t="s">
        <v>39</v>
      </c>
      <c r="C4" s="82" t="s">
        <v>40</v>
      </c>
      <c r="D4" s="82" t="s">
        <v>41</v>
      </c>
      <c r="E4" s="288"/>
      <c r="F4" s="83" t="s">
        <v>46</v>
      </c>
      <c r="G4" s="84" t="s">
        <v>47</v>
      </c>
      <c r="H4" s="84" t="s">
        <v>48</v>
      </c>
      <c r="I4" s="84" t="s">
        <v>53</v>
      </c>
      <c r="J4" s="84" t="s">
        <v>49</v>
      </c>
      <c r="K4" s="85" t="s">
        <v>68</v>
      </c>
      <c r="L4" s="86" t="s">
        <v>69</v>
      </c>
      <c r="M4" s="288"/>
      <c r="N4" s="84" t="s">
        <v>51</v>
      </c>
      <c r="O4" s="83" t="s">
        <v>52</v>
      </c>
      <c r="P4" s="87" t="s">
        <v>50</v>
      </c>
      <c r="Q4" s="87" t="s">
        <v>70</v>
      </c>
      <c r="R4" s="288"/>
    </row>
    <row r="5" spans="1:23" ht="25.5" x14ac:dyDescent="0.25">
      <c r="A5" s="33" t="s">
        <v>71</v>
      </c>
      <c r="B5" s="224"/>
      <c r="C5" s="225"/>
      <c r="D5" s="225"/>
      <c r="E5" s="90"/>
      <c r="F5" s="225"/>
      <c r="G5" s="224"/>
      <c r="H5" s="225"/>
      <c r="I5" s="225"/>
      <c r="J5" s="225"/>
      <c r="K5" s="225"/>
      <c r="L5" s="225"/>
      <c r="M5" s="91"/>
      <c r="N5" s="224"/>
      <c r="O5" s="224"/>
      <c r="P5" s="225"/>
      <c r="Q5" s="233"/>
      <c r="R5" s="92"/>
      <c r="S5" s="67" t="s">
        <v>81</v>
      </c>
      <c r="T5" s="120" t="s">
        <v>57</v>
      </c>
      <c r="U5" s="67" t="s">
        <v>82</v>
      </c>
      <c r="V5" s="67" t="s">
        <v>83</v>
      </c>
      <c r="W5" s="121" t="s">
        <v>84</v>
      </c>
    </row>
    <row r="6" spans="1:23" x14ac:dyDescent="0.25">
      <c r="A6" s="34" t="s">
        <v>72</v>
      </c>
      <c r="B6" s="291">
        <v>0.56617799999999996</v>
      </c>
      <c r="C6" s="291">
        <v>2.9033E-2</v>
      </c>
      <c r="D6" s="291">
        <v>7.9459999999999999E-3</v>
      </c>
      <c r="E6" s="289">
        <v>0.60315699999999994</v>
      </c>
      <c r="F6" s="297" t="s">
        <v>73</v>
      </c>
      <c r="G6" s="228">
        <v>0</v>
      </c>
      <c r="H6" s="291">
        <v>0.11033900000000001</v>
      </c>
      <c r="I6" s="291">
        <v>1.186E-3</v>
      </c>
      <c r="J6" s="291">
        <v>3.4837E-2</v>
      </c>
      <c r="K6" s="297" t="s">
        <v>73</v>
      </c>
      <c r="L6" s="297" t="s">
        <v>73</v>
      </c>
      <c r="M6" s="94">
        <f>G6+$H$6+$I$6+$J$6</f>
        <v>0.14636200000000002</v>
      </c>
      <c r="N6" s="299"/>
      <c r="O6" s="299">
        <v>1.2695E-2</v>
      </c>
      <c r="P6" s="234">
        <v>0</v>
      </c>
      <c r="Q6" s="291">
        <v>7.2920000000000007E-3</v>
      </c>
      <c r="R6" s="96">
        <f>$N$6+$O$6+P6+$Q$6</f>
        <v>1.9987000000000001E-2</v>
      </c>
      <c r="S6" s="113">
        <f>$E$6+M6+R6</f>
        <v>0.76950599999999991</v>
      </c>
      <c r="T6" s="53">
        <v>4.3999999999999997E-2</v>
      </c>
      <c r="U6" s="97">
        <f>S6+T6</f>
        <v>0.81350599999999995</v>
      </c>
      <c r="V6" s="125">
        <v>120</v>
      </c>
      <c r="W6" s="114">
        <f>U6*V6</f>
        <v>97.620719999999992</v>
      </c>
    </row>
    <row r="7" spans="1:23" x14ac:dyDescent="0.25">
      <c r="A7" s="34" t="s">
        <v>30</v>
      </c>
      <c r="B7" s="291"/>
      <c r="C7" s="291"/>
      <c r="D7" s="291"/>
      <c r="E7" s="289"/>
      <c r="F7" s="297"/>
      <c r="G7" s="228">
        <v>7.2051999999999991E-2</v>
      </c>
      <c r="H7" s="291"/>
      <c r="I7" s="291"/>
      <c r="J7" s="291"/>
      <c r="K7" s="297"/>
      <c r="L7" s="297"/>
      <c r="M7" s="94">
        <f t="shared" ref="M7:M11" si="0">G7+$H$6+$I$6+$J$6</f>
        <v>0.218414</v>
      </c>
      <c r="N7" s="299"/>
      <c r="O7" s="299"/>
      <c r="P7" s="234">
        <v>4.6199999999999998E-2</v>
      </c>
      <c r="Q7" s="291"/>
      <c r="R7" s="96">
        <f t="shared" ref="R7:R11" si="1">$N$6+$O$6+P7+$Q$6</f>
        <v>6.6186999999999996E-2</v>
      </c>
      <c r="S7" s="113">
        <f t="shared" ref="S7:S10" si="2">$E$6+M7+R7</f>
        <v>0.88775799999999994</v>
      </c>
      <c r="T7" s="53">
        <v>0.17499999999999999</v>
      </c>
      <c r="U7" s="97">
        <f t="shared" ref="U7:U10" si="3">S7+T7</f>
        <v>1.0627579999999999</v>
      </c>
      <c r="V7" s="125">
        <v>360</v>
      </c>
      <c r="W7" s="114">
        <f t="shared" ref="W7:W10" si="4">U7*V7</f>
        <v>382.59287999999998</v>
      </c>
    </row>
    <row r="8" spans="1:23" x14ac:dyDescent="0.25">
      <c r="A8" s="34" t="s">
        <v>31</v>
      </c>
      <c r="B8" s="291"/>
      <c r="C8" s="291"/>
      <c r="D8" s="291"/>
      <c r="E8" s="289"/>
      <c r="F8" s="297"/>
      <c r="G8" s="228">
        <v>6.5948000000000007E-2</v>
      </c>
      <c r="H8" s="291"/>
      <c r="I8" s="291"/>
      <c r="J8" s="291"/>
      <c r="K8" s="297"/>
      <c r="L8" s="297"/>
      <c r="M8" s="94">
        <f t="shared" si="0"/>
        <v>0.21231000000000003</v>
      </c>
      <c r="N8" s="299"/>
      <c r="O8" s="299"/>
      <c r="P8" s="234">
        <v>2.7300000000000001E-2</v>
      </c>
      <c r="Q8" s="291"/>
      <c r="R8" s="96">
        <f t="shared" si="1"/>
        <v>4.7287000000000003E-2</v>
      </c>
      <c r="S8" s="113">
        <f t="shared" si="2"/>
        <v>0.86275399999999991</v>
      </c>
      <c r="T8" s="53">
        <v>0.17</v>
      </c>
      <c r="U8" s="97">
        <f t="shared" si="3"/>
        <v>1.0327539999999999</v>
      </c>
      <c r="V8" s="125">
        <v>1080</v>
      </c>
      <c r="W8" s="114">
        <f t="shared" si="4"/>
        <v>1115.3743199999999</v>
      </c>
    </row>
    <row r="9" spans="1:23" x14ac:dyDescent="0.25">
      <c r="A9" s="34" t="s">
        <v>32</v>
      </c>
      <c r="B9" s="291"/>
      <c r="C9" s="291"/>
      <c r="D9" s="291"/>
      <c r="E9" s="289"/>
      <c r="F9" s="297"/>
      <c r="G9" s="228">
        <v>6.6224999999999992E-2</v>
      </c>
      <c r="H9" s="291"/>
      <c r="I9" s="291"/>
      <c r="J9" s="291"/>
      <c r="K9" s="297"/>
      <c r="L9" s="297"/>
      <c r="M9" s="94">
        <f t="shared" si="0"/>
        <v>0.212587</v>
      </c>
      <c r="N9" s="299"/>
      <c r="O9" s="299"/>
      <c r="P9" s="234">
        <v>2.2100000000000002E-2</v>
      </c>
      <c r="Q9" s="291"/>
      <c r="R9" s="96">
        <f t="shared" si="1"/>
        <v>4.2086999999999999E-2</v>
      </c>
      <c r="S9" s="113">
        <f t="shared" si="2"/>
        <v>0.8578309999999999</v>
      </c>
      <c r="T9" s="53">
        <v>0.186</v>
      </c>
      <c r="U9" s="97">
        <f t="shared" si="3"/>
        <v>1.043831</v>
      </c>
      <c r="V9" s="125">
        <v>3440</v>
      </c>
      <c r="W9" s="114">
        <f t="shared" si="4"/>
        <v>3590.77864</v>
      </c>
    </row>
    <row r="10" spans="1:23" x14ac:dyDescent="0.25">
      <c r="A10" s="34" t="s">
        <v>33</v>
      </c>
      <c r="B10" s="291"/>
      <c r="C10" s="291"/>
      <c r="D10" s="291"/>
      <c r="E10" s="289"/>
      <c r="F10" s="297"/>
      <c r="G10" s="228">
        <v>4.9484E-2</v>
      </c>
      <c r="H10" s="291"/>
      <c r="I10" s="291"/>
      <c r="J10" s="291"/>
      <c r="K10" s="297"/>
      <c r="L10" s="297"/>
      <c r="M10" s="94">
        <f t="shared" si="0"/>
        <v>0.19584599999999999</v>
      </c>
      <c r="N10" s="299"/>
      <c r="O10" s="299"/>
      <c r="P10" s="234">
        <v>1.5800000000000002E-2</v>
      </c>
      <c r="Q10" s="291"/>
      <c r="R10" s="96">
        <f t="shared" si="1"/>
        <v>3.5786999999999999E-2</v>
      </c>
      <c r="S10" s="113">
        <f t="shared" si="2"/>
        <v>0.83478999999999992</v>
      </c>
      <c r="T10" s="53">
        <v>0.186</v>
      </c>
      <c r="U10" s="97">
        <f t="shared" si="3"/>
        <v>1.0207899999999999</v>
      </c>
      <c r="V10" s="125">
        <v>25000</v>
      </c>
      <c r="W10" s="114">
        <f t="shared" si="4"/>
        <v>25519.749999999996</v>
      </c>
    </row>
    <row r="11" spans="1:23" x14ac:dyDescent="0.25">
      <c r="A11" s="34" t="s">
        <v>34</v>
      </c>
      <c r="B11" s="292"/>
      <c r="C11" s="292"/>
      <c r="D11" s="292"/>
      <c r="E11" s="290"/>
      <c r="F11" s="298"/>
      <c r="G11" s="228">
        <v>2.5066000000000001E-2</v>
      </c>
      <c r="H11" s="292"/>
      <c r="I11" s="292"/>
      <c r="J11" s="292"/>
      <c r="K11" s="298"/>
      <c r="L11" s="298"/>
      <c r="M11" s="94">
        <f t="shared" si="0"/>
        <v>0.171428</v>
      </c>
      <c r="N11" s="300"/>
      <c r="O11" s="300"/>
      <c r="P11" s="235">
        <v>6.6E-3</v>
      </c>
      <c r="Q11" s="292"/>
      <c r="R11" s="96">
        <f t="shared" si="1"/>
        <v>2.6587E-2</v>
      </c>
      <c r="S11" s="115"/>
      <c r="T11" s="116"/>
      <c r="U11" s="117"/>
      <c r="V11" s="118"/>
      <c r="W11" s="119"/>
    </row>
    <row r="12" spans="1:23" x14ac:dyDescent="0.25">
      <c r="A12" s="99" t="s">
        <v>74</v>
      </c>
      <c r="B12" s="226"/>
      <c r="C12" s="227"/>
      <c r="D12" s="226"/>
      <c r="E12" s="102"/>
      <c r="F12" s="229"/>
      <c r="G12" s="226"/>
      <c r="H12" s="230"/>
      <c r="I12" s="226"/>
      <c r="J12" s="226"/>
      <c r="K12" s="226"/>
      <c r="L12" s="226"/>
      <c r="M12" s="102"/>
      <c r="N12" s="226"/>
      <c r="O12" s="230"/>
      <c r="P12" s="236"/>
      <c r="Q12" s="105"/>
      <c r="R12" s="105"/>
      <c r="S12" s="122"/>
      <c r="T12" s="123"/>
      <c r="U12" s="122"/>
      <c r="V12" s="5">
        <f>SUM(V6:V11)</f>
        <v>30000</v>
      </c>
      <c r="W12" s="124">
        <f>SUM(W6:W11)</f>
        <v>30706.116559999995</v>
      </c>
    </row>
    <row r="13" spans="1:23" x14ac:dyDescent="0.25">
      <c r="A13" s="106" t="s">
        <v>75</v>
      </c>
      <c r="B13" s="297" t="s">
        <v>73</v>
      </c>
      <c r="C13" s="297" t="s">
        <v>73</v>
      </c>
      <c r="D13" s="284">
        <v>58.93</v>
      </c>
      <c r="E13" s="275">
        <v>58.93</v>
      </c>
      <c r="F13" s="231">
        <v>67.290000000000006</v>
      </c>
      <c r="G13" s="297" t="s">
        <v>73</v>
      </c>
      <c r="H13" s="297" t="s">
        <v>73</v>
      </c>
      <c r="I13" s="297" t="s">
        <v>73</v>
      </c>
      <c r="J13" s="297" t="s">
        <v>73</v>
      </c>
      <c r="K13" s="284">
        <v>-0.33</v>
      </c>
      <c r="L13" s="284">
        <v>0</v>
      </c>
      <c r="M13" s="108">
        <f>+F13+K13+L13</f>
        <v>66.960000000000008</v>
      </c>
      <c r="N13" s="297" t="s">
        <v>73</v>
      </c>
      <c r="O13" s="284">
        <v>-23.13</v>
      </c>
      <c r="P13" s="297" t="s">
        <v>73</v>
      </c>
      <c r="Q13" s="273" t="s">
        <v>73</v>
      </c>
      <c r="R13" s="275">
        <v>-23.13</v>
      </c>
      <c r="S13" s="122"/>
      <c r="T13" s="123"/>
      <c r="U13" s="122"/>
      <c r="V13" s="122"/>
      <c r="W13" s="122"/>
    </row>
    <row r="14" spans="1:23" x14ac:dyDescent="0.25">
      <c r="A14" s="106" t="s">
        <v>76</v>
      </c>
      <c r="B14" s="291"/>
      <c r="C14" s="291"/>
      <c r="D14" s="284"/>
      <c r="E14" s="275"/>
      <c r="F14" s="231">
        <v>469.33000000000004</v>
      </c>
      <c r="G14" s="291"/>
      <c r="H14" s="291"/>
      <c r="I14" s="291"/>
      <c r="J14" s="291"/>
      <c r="K14" s="284"/>
      <c r="L14" s="284"/>
      <c r="M14" s="108">
        <f>+F14+K13+L13</f>
        <v>469.00000000000006</v>
      </c>
      <c r="N14" s="291"/>
      <c r="O14" s="284"/>
      <c r="P14" s="291"/>
      <c r="Q14" s="263"/>
      <c r="R14" s="275"/>
      <c r="S14" s="122"/>
      <c r="T14" s="123"/>
      <c r="U14" s="122"/>
      <c r="V14" s="126" t="s">
        <v>80</v>
      </c>
      <c r="W14" s="127">
        <f>W12/V12</f>
        <v>1.0235372186666665</v>
      </c>
    </row>
    <row r="15" spans="1:23" x14ac:dyDescent="0.25">
      <c r="A15" s="109" t="s">
        <v>77</v>
      </c>
      <c r="B15" s="292"/>
      <c r="C15" s="292"/>
      <c r="D15" s="285"/>
      <c r="E15" s="276"/>
      <c r="F15" s="232">
        <v>964.39</v>
      </c>
      <c r="G15" s="292"/>
      <c r="H15" s="292"/>
      <c r="I15" s="292"/>
      <c r="J15" s="292"/>
      <c r="K15" s="285"/>
      <c r="L15" s="285"/>
      <c r="M15" s="111">
        <f>+F15+K13+L13</f>
        <v>964.06</v>
      </c>
      <c r="N15" s="292"/>
      <c r="O15" s="285"/>
      <c r="P15" s="292"/>
      <c r="Q15" s="274"/>
      <c r="R15" s="276"/>
    </row>
    <row r="16" spans="1:23" x14ac:dyDescent="0.25">
      <c r="A16" s="112" t="s">
        <v>78</v>
      </c>
      <c r="B16" s="277" t="s">
        <v>79</v>
      </c>
      <c r="C16" s="278"/>
      <c r="D16" s="278"/>
      <c r="E16" s="278"/>
      <c r="F16" s="278"/>
      <c r="G16" s="278"/>
      <c r="H16" s="278"/>
      <c r="I16" s="278"/>
      <c r="J16" s="278"/>
      <c r="K16" s="278"/>
      <c r="L16" s="278"/>
      <c r="M16" s="278"/>
      <c r="N16" s="278"/>
      <c r="O16" s="278"/>
      <c r="P16" s="278"/>
      <c r="Q16" s="278"/>
      <c r="R16" s="279"/>
    </row>
    <row r="20" spans="2:3" x14ac:dyDescent="0.25">
      <c r="B20" s="155" t="s">
        <v>305</v>
      </c>
      <c r="C20" s="158">
        <f>$E$13+M13+$R$13</f>
        <v>102.76000000000002</v>
      </c>
    </row>
    <row r="21" spans="2:3" x14ac:dyDescent="0.25">
      <c r="B21" s="155" t="s">
        <v>306</v>
      </c>
      <c r="C21" s="158">
        <f t="shared" ref="C21:C22" si="5">$E$13+M14+$R$13</f>
        <v>504.80000000000007</v>
      </c>
    </row>
    <row r="22" spans="2:3" x14ac:dyDescent="0.25">
      <c r="B22" s="155" t="s">
        <v>307</v>
      </c>
      <c r="C22" s="158">
        <f t="shared" si="5"/>
        <v>999.8599999999999</v>
      </c>
    </row>
  </sheetData>
  <mergeCells count="32">
    <mergeCell ref="P13:P15"/>
    <mergeCell ref="Q13:Q15"/>
    <mergeCell ref="R13:R15"/>
    <mergeCell ref="B16:R16"/>
    <mergeCell ref="I13:I15"/>
    <mergeCell ref="J13:J15"/>
    <mergeCell ref="K13:K15"/>
    <mergeCell ref="L13:L15"/>
    <mergeCell ref="N13:N15"/>
    <mergeCell ref="O13:O15"/>
    <mergeCell ref="B13:B15"/>
    <mergeCell ref="C13:C15"/>
    <mergeCell ref="D13:D15"/>
    <mergeCell ref="E13:E15"/>
    <mergeCell ref="G13:G15"/>
    <mergeCell ref="H13:H15"/>
    <mergeCell ref="Q6:Q11"/>
    <mergeCell ref="E2:E4"/>
    <mergeCell ref="M2:M4"/>
    <mergeCell ref="R2:R4"/>
    <mergeCell ref="B6:B11"/>
    <mergeCell ref="C6:C11"/>
    <mergeCell ref="D6:D11"/>
    <mergeCell ref="E6:E11"/>
    <mergeCell ref="F6:F11"/>
    <mergeCell ref="H6:H11"/>
    <mergeCell ref="I6:I11"/>
    <mergeCell ref="J6:J11"/>
    <mergeCell ref="K6:K11"/>
    <mergeCell ref="L6:L11"/>
    <mergeCell ref="N6:N11"/>
    <mergeCell ref="O6:O1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AD487-AD5A-413B-8369-BA3E01E2DB1C}">
  <sheetPr codeName="Foglio8">
    <tabColor rgb="FF92D050"/>
  </sheetPr>
  <dimension ref="A1:W22"/>
  <sheetViews>
    <sheetView workbookViewId="0">
      <selection activeCell="H24" sqref="H24"/>
    </sheetView>
  </sheetViews>
  <sheetFormatPr defaultRowHeight="15" x14ac:dyDescent="0.25"/>
  <cols>
    <col min="1" max="1" width="22.28515625" customWidth="1"/>
    <col min="22" max="22" width="11.85546875" bestFit="1" customWidth="1"/>
    <col min="23" max="23" width="12.42578125" bestFit="1" customWidth="1"/>
  </cols>
  <sheetData>
    <row r="1" spans="1:23" ht="15.75" x14ac:dyDescent="0.25">
      <c r="A1" s="74" t="s">
        <v>62</v>
      </c>
      <c r="B1" s="32"/>
      <c r="C1" s="32"/>
      <c r="D1" s="32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</row>
    <row r="2" spans="1:23" ht="25.5" x14ac:dyDescent="0.25">
      <c r="A2" s="77" t="s">
        <v>63</v>
      </c>
      <c r="B2" s="32"/>
      <c r="C2" s="32"/>
      <c r="D2" s="32"/>
      <c r="E2" s="286" t="s">
        <v>64</v>
      </c>
      <c r="F2" s="75"/>
      <c r="G2" s="75"/>
      <c r="H2" s="75"/>
      <c r="I2" s="75"/>
      <c r="J2" s="75"/>
      <c r="K2" s="75"/>
      <c r="L2" s="75"/>
      <c r="M2" s="286" t="s">
        <v>65</v>
      </c>
      <c r="N2" s="78"/>
      <c r="O2" s="75"/>
      <c r="P2" s="75"/>
      <c r="Q2" s="75"/>
      <c r="R2" s="286" t="s">
        <v>66</v>
      </c>
    </row>
    <row r="3" spans="1:23" x14ac:dyDescent="0.25">
      <c r="A3" s="79" t="s">
        <v>614</v>
      </c>
      <c r="B3" s="32"/>
      <c r="C3" s="32"/>
      <c r="D3" s="32"/>
      <c r="E3" s="287"/>
      <c r="F3" s="75"/>
      <c r="G3" s="75"/>
      <c r="H3" s="75"/>
      <c r="I3" s="75"/>
      <c r="J3" s="75"/>
      <c r="K3" s="75"/>
      <c r="L3" s="75"/>
      <c r="M3" s="287"/>
      <c r="N3" s="78"/>
      <c r="O3" s="75"/>
      <c r="P3" s="75"/>
      <c r="Q3" s="75"/>
      <c r="R3" s="287"/>
    </row>
    <row r="4" spans="1:23" x14ac:dyDescent="0.25">
      <c r="A4" s="220" t="s">
        <v>622</v>
      </c>
      <c r="B4" s="81" t="s">
        <v>39</v>
      </c>
      <c r="C4" s="82" t="s">
        <v>40</v>
      </c>
      <c r="D4" s="82" t="s">
        <v>41</v>
      </c>
      <c r="E4" s="288"/>
      <c r="F4" s="83" t="s">
        <v>46</v>
      </c>
      <c r="G4" s="84" t="s">
        <v>47</v>
      </c>
      <c r="H4" s="84" t="s">
        <v>48</v>
      </c>
      <c r="I4" s="84" t="s">
        <v>53</v>
      </c>
      <c r="J4" s="84" t="s">
        <v>49</v>
      </c>
      <c r="K4" s="85" t="s">
        <v>68</v>
      </c>
      <c r="L4" s="86" t="s">
        <v>69</v>
      </c>
      <c r="M4" s="288"/>
      <c r="N4" s="84" t="s">
        <v>51</v>
      </c>
      <c r="O4" s="83" t="s">
        <v>52</v>
      </c>
      <c r="P4" s="87" t="s">
        <v>50</v>
      </c>
      <c r="Q4" s="87" t="s">
        <v>70</v>
      </c>
      <c r="R4" s="288"/>
    </row>
    <row r="5" spans="1:23" ht="25.5" x14ac:dyDescent="0.25">
      <c r="A5" s="33" t="s">
        <v>71</v>
      </c>
      <c r="B5" s="237"/>
      <c r="C5" s="238"/>
      <c r="D5" s="238"/>
      <c r="E5" s="90"/>
      <c r="F5" s="238"/>
      <c r="G5" s="237"/>
      <c r="H5" s="238"/>
      <c r="I5" s="238"/>
      <c r="J5" s="238"/>
      <c r="K5" s="238"/>
      <c r="L5" s="238"/>
      <c r="M5" s="91"/>
      <c r="N5" s="91"/>
      <c r="O5" s="237"/>
      <c r="P5" s="238"/>
      <c r="Q5" s="246"/>
      <c r="R5" s="92"/>
      <c r="S5" s="67" t="s">
        <v>81</v>
      </c>
      <c r="T5" s="120" t="s">
        <v>57</v>
      </c>
      <c r="U5" s="67" t="s">
        <v>82</v>
      </c>
      <c r="V5" s="67" t="s">
        <v>83</v>
      </c>
      <c r="W5" s="121" t="s">
        <v>84</v>
      </c>
    </row>
    <row r="6" spans="1:23" x14ac:dyDescent="0.25">
      <c r="A6" s="34" t="s">
        <v>72</v>
      </c>
      <c r="B6" s="301">
        <v>0.455069</v>
      </c>
      <c r="C6" s="301">
        <v>2.9033E-2</v>
      </c>
      <c r="D6" s="301">
        <v>7.9459999999999999E-3</v>
      </c>
      <c r="E6" s="289">
        <v>0.49204799999999999</v>
      </c>
      <c r="F6" s="303" t="s">
        <v>73</v>
      </c>
      <c r="G6" s="241">
        <v>0</v>
      </c>
      <c r="H6" s="301">
        <v>0.11033900000000001</v>
      </c>
      <c r="I6" s="301">
        <v>1.186E-3</v>
      </c>
      <c r="J6" s="301">
        <v>3.4837E-2</v>
      </c>
      <c r="K6" s="303" t="s">
        <v>73</v>
      </c>
      <c r="L6" s="303" t="s">
        <v>73</v>
      </c>
      <c r="M6" s="94">
        <f>G6+$H$6+$I$6+$J$6</f>
        <v>0.14636200000000002</v>
      </c>
      <c r="N6" s="263"/>
      <c r="O6" s="305">
        <v>1.2695E-2</v>
      </c>
      <c r="P6" s="247">
        <v>0</v>
      </c>
      <c r="Q6" s="301">
        <v>7.2920000000000007E-3</v>
      </c>
      <c r="R6" s="96">
        <f>$N$6+$O$6+P6+$Q$6</f>
        <v>1.9987000000000001E-2</v>
      </c>
      <c r="S6" s="113">
        <f>$E$6+M6+R6</f>
        <v>0.65839700000000001</v>
      </c>
      <c r="T6" s="53">
        <v>4.3999999999999997E-2</v>
      </c>
      <c r="U6" s="97">
        <f>S6+T6</f>
        <v>0.70239700000000005</v>
      </c>
      <c r="V6" s="125">
        <v>120</v>
      </c>
      <c r="W6" s="114">
        <f>U6*V6</f>
        <v>84.28764000000001</v>
      </c>
    </row>
    <row r="7" spans="1:23" x14ac:dyDescent="0.25">
      <c r="A7" s="34" t="s">
        <v>30</v>
      </c>
      <c r="B7" s="301"/>
      <c r="C7" s="301"/>
      <c r="D7" s="301"/>
      <c r="E7" s="289"/>
      <c r="F7" s="303"/>
      <c r="G7" s="241">
        <v>7.2051999999999991E-2</v>
      </c>
      <c r="H7" s="301"/>
      <c r="I7" s="301"/>
      <c r="J7" s="301"/>
      <c r="K7" s="303"/>
      <c r="L7" s="303"/>
      <c r="M7" s="94">
        <f t="shared" ref="M7:M11" si="0">G7+$H$6+$I$6+$J$6</f>
        <v>0.218414</v>
      </c>
      <c r="N7" s="263"/>
      <c r="O7" s="305"/>
      <c r="P7" s="247">
        <v>4.6199999999999998E-2</v>
      </c>
      <c r="Q7" s="301"/>
      <c r="R7" s="96">
        <f t="shared" ref="R7:R11" si="1">$N$6+$O$6+P7+$Q$6</f>
        <v>6.6186999999999996E-2</v>
      </c>
      <c r="S7" s="113">
        <f t="shared" ref="S7:S10" si="2">$E$6+M7+R7</f>
        <v>0.77664899999999992</v>
      </c>
      <c r="T7" s="53">
        <v>0.17499999999999999</v>
      </c>
      <c r="U7" s="97">
        <f t="shared" ref="U7:U10" si="3">S7+T7</f>
        <v>0.95164899999999997</v>
      </c>
      <c r="V7" s="125">
        <v>360</v>
      </c>
      <c r="W7" s="114">
        <f t="shared" ref="W7:W10" si="4">U7*V7</f>
        <v>342.59363999999999</v>
      </c>
    </row>
    <row r="8" spans="1:23" x14ac:dyDescent="0.25">
      <c r="A8" s="34" t="s">
        <v>31</v>
      </c>
      <c r="B8" s="301"/>
      <c r="C8" s="301"/>
      <c r="D8" s="301"/>
      <c r="E8" s="289"/>
      <c r="F8" s="303"/>
      <c r="G8" s="241">
        <v>6.5948000000000007E-2</v>
      </c>
      <c r="H8" s="301"/>
      <c r="I8" s="301"/>
      <c r="J8" s="301"/>
      <c r="K8" s="303"/>
      <c r="L8" s="303"/>
      <c r="M8" s="94">
        <f t="shared" si="0"/>
        <v>0.21231000000000003</v>
      </c>
      <c r="N8" s="263"/>
      <c r="O8" s="305"/>
      <c r="P8" s="247">
        <v>2.7300000000000001E-2</v>
      </c>
      <c r="Q8" s="301"/>
      <c r="R8" s="96">
        <f t="shared" si="1"/>
        <v>4.7287000000000003E-2</v>
      </c>
      <c r="S8" s="113">
        <f t="shared" si="2"/>
        <v>0.75164500000000001</v>
      </c>
      <c r="T8" s="53">
        <v>0.17</v>
      </c>
      <c r="U8" s="97">
        <f t="shared" si="3"/>
        <v>0.92164500000000005</v>
      </c>
      <c r="V8" s="125">
        <v>1080</v>
      </c>
      <c r="W8" s="114">
        <f t="shared" si="4"/>
        <v>995.37660000000005</v>
      </c>
    </row>
    <row r="9" spans="1:23" x14ac:dyDescent="0.25">
      <c r="A9" s="34" t="s">
        <v>32</v>
      </c>
      <c r="B9" s="301"/>
      <c r="C9" s="301"/>
      <c r="D9" s="301"/>
      <c r="E9" s="289"/>
      <c r="F9" s="303"/>
      <c r="G9" s="241">
        <v>6.6224999999999992E-2</v>
      </c>
      <c r="H9" s="301"/>
      <c r="I9" s="301"/>
      <c r="J9" s="301"/>
      <c r="K9" s="303"/>
      <c r="L9" s="303"/>
      <c r="M9" s="94">
        <f t="shared" si="0"/>
        <v>0.212587</v>
      </c>
      <c r="N9" s="263"/>
      <c r="O9" s="305"/>
      <c r="P9" s="247">
        <v>2.2100000000000002E-2</v>
      </c>
      <c r="Q9" s="301"/>
      <c r="R9" s="96">
        <f t="shared" si="1"/>
        <v>4.2086999999999999E-2</v>
      </c>
      <c r="S9" s="113">
        <f t="shared" si="2"/>
        <v>0.746722</v>
      </c>
      <c r="T9" s="53">
        <v>0.186</v>
      </c>
      <c r="U9" s="97">
        <f t="shared" si="3"/>
        <v>0.93272200000000005</v>
      </c>
      <c r="V9" s="125">
        <v>3440</v>
      </c>
      <c r="W9" s="114">
        <f t="shared" si="4"/>
        <v>3208.5636800000002</v>
      </c>
    </row>
    <row r="10" spans="1:23" x14ac:dyDescent="0.25">
      <c r="A10" s="34" t="s">
        <v>33</v>
      </c>
      <c r="B10" s="301"/>
      <c r="C10" s="301"/>
      <c r="D10" s="301"/>
      <c r="E10" s="289"/>
      <c r="F10" s="303"/>
      <c r="G10" s="241">
        <v>4.9484E-2</v>
      </c>
      <c r="H10" s="301"/>
      <c r="I10" s="301"/>
      <c r="J10" s="301"/>
      <c r="K10" s="303"/>
      <c r="L10" s="303"/>
      <c r="M10" s="94">
        <f t="shared" si="0"/>
        <v>0.19584599999999999</v>
      </c>
      <c r="N10" s="263"/>
      <c r="O10" s="305"/>
      <c r="P10" s="247">
        <v>1.5800000000000002E-2</v>
      </c>
      <c r="Q10" s="301"/>
      <c r="R10" s="96">
        <f t="shared" si="1"/>
        <v>3.5786999999999999E-2</v>
      </c>
      <c r="S10" s="113">
        <f t="shared" si="2"/>
        <v>0.72368100000000002</v>
      </c>
      <c r="T10" s="53">
        <v>0.186</v>
      </c>
      <c r="U10" s="97">
        <f t="shared" si="3"/>
        <v>0.90968099999999996</v>
      </c>
      <c r="V10" s="125">
        <v>25000</v>
      </c>
      <c r="W10" s="114">
        <f t="shared" si="4"/>
        <v>22742.024999999998</v>
      </c>
    </row>
    <row r="11" spans="1:23" x14ac:dyDescent="0.25">
      <c r="A11" s="34" t="s">
        <v>34</v>
      </c>
      <c r="B11" s="302"/>
      <c r="C11" s="302"/>
      <c r="D11" s="302"/>
      <c r="E11" s="290"/>
      <c r="F11" s="304"/>
      <c r="G11" s="241">
        <v>2.5066000000000001E-2</v>
      </c>
      <c r="H11" s="302"/>
      <c r="I11" s="302"/>
      <c r="J11" s="302"/>
      <c r="K11" s="304"/>
      <c r="L11" s="304"/>
      <c r="M11" s="94">
        <f t="shared" si="0"/>
        <v>0.171428</v>
      </c>
      <c r="N11" s="274"/>
      <c r="O11" s="306"/>
      <c r="P11" s="248">
        <v>6.6E-3</v>
      </c>
      <c r="Q11" s="302"/>
      <c r="R11" s="96">
        <f t="shared" si="1"/>
        <v>2.6587E-2</v>
      </c>
      <c r="S11" s="115"/>
      <c r="T11" s="116"/>
      <c r="U11" s="117"/>
      <c r="V11" s="118"/>
      <c r="W11" s="119"/>
    </row>
    <row r="12" spans="1:23" x14ac:dyDescent="0.25">
      <c r="A12" s="99" t="s">
        <v>74</v>
      </c>
      <c r="B12" s="239"/>
      <c r="C12" s="240"/>
      <c r="D12" s="239"/>
      <c r="E12" s="102"/>
      <c r="F12" s="242"/>
      <c r="G12" s="239"/>
      <c r="H12" s="243"/>
      <c r="I12" s="239"/>
      <c r="J12" s="239"/>
      <c r="K12" s="239"/>
      <c r="L12" s="239"/>
      <c r="M12" s="102"/>
      <c r="N12" s="102"/>
      <c r="O12" s="239"/>
      <c r="P12" s="243"/>
      <c r="Q12" s="249"/>
      <c r="R12" s="105"/>
      <c r="S12" s="122"/>
      <c r="T12" s="123"/>
      <c r="U12" s="122"/>
      <c r="V12" s="5">
        <f>SUM(V6:V11)</f>
        <v>30000</v>
      </c>
      <c r="W12" s="124">
        <f>SUM(W6:W11)</f>
        <v>27372.846559999998</v>
      </c>
    </row>
    <row r="13" spans="1:23" x14ac:dyDescent="0.25">
      <c r="A13" s="106" t="s">
        <v>75</v>
      </c>
      <c r="B13" s="303" t="s">
        <v>73</v>
      </c>
      <c r="C13" s="303" t="s">
        <v>73</v>
      </c>
      <c r="D13" s="307">
        <v>58.93</v>
      </c>
      <c r="E13" s="275">
        <v>58.93</v>
      </c>
      <c r="F13" s="244">
        <v>67.290000000000006</v>
      </c>
      <c r="G13" s="303" t="s">
        <v>73</v>
      </c>
      <c r="H13" s="303" t="s">
        <v>73</v>
      </c>
      <c r="I13" s="303" t="s">
        <v>73</v>
      </c>
      <c r="J13" s="303" t="s">
        <v>73</v>
      </c>
      <c r="K13" s="307">
        <v>-0.33</v>
      </c>
      <c r="L13" s="307">
        <v>0</v>
      </c>
      <c r="M13" s="108">
        <f>+F13+K13+L13</f>
        <v>66.960000000000008</v>
      </c>
      <c r="N13" s="280" t="s">
        <v>73</v>
      </c>
      <c r="O13" s="303" t="s">
        <v>73</v>
      </c>
      <c r="P13" s="307">
        <v>-23.13</v>
      </c>
      <c r="Q13" s="303" t="s">
        <v>73</v>
      </c>
      <c r="R13" s="275">
        <v>-23.13</v>
      </c>
      <c r="S13" s="122"/>
      <c r="T13" s="123"/>
      <c r="U13" s="122"/>
      <c r="V13" s="122"/>
      <c r="W13" s="122"/>
    </row>
    <row r="14" spans="1:23" x14ac:dyDescent="0.25">
      <c r="A14" s="106" t="s">
        <v>76</v>
      </c>
      <c r="B14" s="301"/>
      <c r="C14" s="301"/>
      <c r="D14" s="307"/>
      <c r="E14" s="275"/>
      <c r="F14" s="244">
        <v>469.33000000000004</v>
      </c>
      <c r="G14" s="301"/>
      <c r="H14" s="301"/>
      <c r="I14" s="301"/>
      <c r="J14" s="301"/>
      <c r="K14" s="307"/>
      <c r="L14" s="307"/>
      <c r="M14" s="108">
        <f>+F14+K13+L13</f>
        <v>469.00000000000006</v>
      </c>
      <c r="N14" s="281"/>
      <c r="O14" s="301"/>
      <c r="P14" s="307"/>
      <c r="Q14" s="301"/>
      <c r="R14" s="275"/>
      <c r="S14" s="122"/>
      <c r="T14" s="123"/>
      <c r="U14" s="122"/>
      <c r="V14" s="126" t="s">
        <v>80</v>
      </c>
      <c r="W14" s="127">
        <f>W12/V12</f>
        <v>0.91242821866666657</v>
      </c>
    </row>
    <row r="15" spans="1:23" x14ac:dyDescent="0.25">
      <c r="A15" s="109" t="s">
        <v>77</v>
      </c>
      <c r="B15" s="302"/>
      <c r="C15" s="302"/>
      <c r="D15" s="308"/>
      <c r="E15" s="276"/>
      <c r="F15" s="245">
        <v>964.39</v>
      </c>
      <c r="G15" s="302"/>
      <c r="H15" s="302"/>
      <c r="I15" s="302"/>
      <c r="J15" s="302"/>
      <c r="K15" s="308"/>
      <c r="L15" s="308"/>
      <c r="M15" s="111">
        <f>+F15+K13+L13</f>
        <v>964.06</v>
      </c>
      <c r="N15" s="282"/>
      <c r="O15" s="302"/>
      <c r="P15" s="308"/>
      <c r="Q15" s="302"/>
      <c r="R15" s="276"/>
    </row>
    <row r="16" spans="1:23" x14ac:dyDescent="0.25">
      <c r="A16" s="112" t="s">
        <v>78</v>
      </c>
      <c r="B16" s="277" t="s">
        <v>79</v>
      </c>
      <c r="C16" s="278"/>
      <c r="D16" s="278"/>
      <c r="E16" s="278"/>
      <c r="F16" s="278"/>
      <c r="G16" s="278"/>
      <c r="H16" s="278"/>
      <c r="I16" s="278"/>
      <c r="J16" s="278"/>
      <c r="K16" s="278"/>
      <c r="L16" s="278"/>
      <c r="M16" s="278"/>
      <c r="N16" s="278"/>
      <c r="O16" s="278"/>
      <c r="P16" s="278"/>
      <c r="Q16" s="278"/>
      <c r="R16" s="279"/>
    </row>
    <row r="20" spans="2:3" x14ac:dyDescent="0.25">
      <c r="B20" s="155" t="s">
        <v>305</v>
      </c>
      <c r="C20" s="158">
        <f>$E$13+M13+$R$13</f>
        <v>102.76000000000002</v>
      </c>
    </row>
    <row r="21" spans="2:3" x14ac:dyDescent="0.25">
      <c r="B21" s="155" t="s">
        <v>306</v>
      </c>
      <c r="C21" s="158">
        <f t="shared" ref="C21:C22" si="5">$E$13+M14+$R$13</f>
        <v>504.80000000000007</v>
      </c>
    </row>
    <row r="22" spans="2:3" x14ac:dyDescent="0.25">
      <c r="B22" s="155" t="s">
        <v>307</v>
      </c>
      <c r="C22" s="158">
        <f t="shared" si="5"/>
        <v>999.8599999999999</v>
      </c>
    </row>
  </sheetData>
  <mergeCells count="32">
    <mergeCell ref="P13:P15"/>
    <mergeCell ref="Q13:Q15"/>
    <mergeCell ref="R13:R15"/>
    <mergeCell ref="B16:R16"/>
    <mergeCell ref="I13:I15"/>
    <mergeCell ref="J13:J15"/>
    <mergeCell ref="K13:K15"/>
    <mergeCell ref="L13:L15"/>
    <mergeCell ref="N13:N15"/>
    <mergeCell ref="O13:O15"/>
    <mergeCell ref="B13:B15"/>
    <mergeCell ref="C13:C15"/>
    <mergeCell ref="D13:D15"/>
    <mergeCell ref="E13:E15"/>
    <mergeCell ref="G13:G15"/>
    <mergeCell ref="H13:H15"/>
    <mergeCell ref="Q6:Q11"/>
    <mergeCell ref="E2:E4"/>
    <mergeCell ref="M2:M4"/>
    <mergeCell ref="R2:R4"/>
    <mergeCell ref="B6:B11"/>
    <mergeCell ref="C6:C11"/>
    <mergeCell ref="D6:D11"/>
    <mergeCell ref="E6:E11"/>
    <mergeCell ref="F6:F11"/>
    <mergeCell ref="H6:H11"/>
    <mergeCell ref="I6:I11"/>
    <mergeCell ref="J6:J11"/>
    <mergeCell ref="K6:K11"/>
    <mergeCell ref="L6:L11"/>
    <mergeCell ref="N6:N11"/>
    <mergeCell ref="O6:O1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3C134-FC57-4EDD-A6E2-07E31EAD7715}">
  <sheetPr codeName="Foglio15">
    <tabColor rgb="FF92D050"/>
  </sheetPr>
  <dimension ref="A1:W22"/>
  <sheetViews>
    <sheetView workbookViewId="0">
      <selection activeCell="I23" sqref="I23"/>
    </sheetView>
  </sheetViews>
  <sheetFormatPr defaultRowHeight="15" x14ac:dyDescent="0.25"/>
  <cols>
    <col min="1" max="1" width="22.28515625" customWidth="1"/>
    <col min="22" max="22" width="11.85546875" bestFit="1" customWidth="1"/>
    <col min="23" max="23" width="12.42578125" bestFit="1" customWidth="1"/>
  </cols>
  <sheetData>
    <row r="1" spans="1:23" ht="15.75" x14ac:dyDescent="0.25">
      <c r="A1" s="74" t="s">
        <v>62</v>
      </c>
      <c r="B1" s="32"/>
      <c r="C1" s="32"/>
      <c r="D1" s="32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</row>
    <row r="2" spans="1:23" ht="25.5" x14ac:dyDescent="0.25">
      <c r="A2" s="77" t="s">
        <v>63</v>
      </c>
      <c r="B2" s="32"/>
      <c r="C2" s="32"/>
      <c r="D2" s="32"/>
      <c r="E2" s="286" t="s">
        <v>64</v>
      </c>
      <c r="F2" s="75"/>
      <c r="G2" s="75"/>
      <c r="H2" s="75"/>
      <c r="I2" s="75"/>
      <c r="J2" s="75"/>
      <c r="K2" s="75"/>
      <c r="L2" s="75"/>
      <c r="M2" s="286" t="s">
        <v>65</v>
      </c>
      <c r="N2" s="78"/>
      <c r="O2" s="75"/>
      <c r="P2" s="75"/>
      <c r="Q2" s="75"/>
      <c r="R2" s="286" t="s">
        <v>66</v>
      </c>
    </row>
    <row r="3" spans="1:23" x14ac:dyDescent="0.25">
      <c r="A3" s="79" t="s">
        <v>614</v>
      </c>
      <c r="B3" s="32"/>
      <c r="C3" s="32"/>
      <c r="D3" s="32"/>
      <c r="E3" s="287"/>
      <c r="F3" s="75"/>
      <c r="G3" s="75"/>
      <c r="H3" s="75"/>
      <c r="I3" s="75"/>
      <c r="J3" s="75"/>
      <c r="K3" s="75"/>
      <c r="L3" s="75"/>
      <c r="M3" s="287"/>
      <c r="N3" s="78"/>
      <c r="O3" s="75"/>
      <c r="P3" s="75"/>
      <c r="Q3" s="75"/>
      <c r="R3" s="287"/>
    </row>
    <row r="4" spans="1:23" x14ac:dyDescent="0.25">
      <c r="A4" s="220" t="s">
        <v>623</v>
      </c>
      <c r="B4" s="81" t="s">
        <v>39</v>
      </c>
      <c r="C4" s="82" t="s">
        <v>40</v>
      </c>
      <c r="D4" s="82" t="s">
        <v>41</v>
      </c>
      <c r="E4" s="288"/>
      <c r="F4" s="83" t="s">
        <v>46</v>
      </c>
      <c r="G4" s="84" t="s">
        <v>47</v>
      </c>
      <c r="H4" s="84" t="s">
        <v>48</v>
      </c>
      <c r="I4" s="84" t="s">
        <v>53</v>
      </c>
      <c r="J4" s="84" t="s">
        <v>49</v>
      </c>
      <c r="K4" s="85" t="s">
        <v>68</v>
      </c>
      <c r="L4" s="86" t="s">
        <v>69</v>
      </c>
      <c r="M4" s="288"/>
      <c r="N4" s="84" t="s">
        <v>51</v>
      </c>
      <c r="O4" s="83" t="s">
        <v>52</v>
      </c>
      <c r="P4" s="87" t="s">
        <v>50</v>
      </c>
      <c r="Q4" s="87" t="s">
        <v>70</v>
      </c>
      <c r="R4" s="288"/>
    </row>
    <row r="5" spans="1:23" ht="25.5" x14ac:dyDescent="0.25">
      <c r="A5" s="33" t="s">
        <v>71</v>
      </c>
      <c r="B5" s="237"/>
      <c r="C5" s="238"/>
      <c r="D5" s="238"/>
      <c r="E5" s="90"/>
      <c r="F5" s="238"/>
      <c r="G5" s="237"/>
      <c r="H5" s="238"/>
      <c r="I5" s="238"/>
      <c r="J5" s="238"/>
      <c r="K5" s="238"/>
      <c r="L5" s="238"/>
      <c r="M5" s="91"/>
      <c r="N5" s="91"/>
      <c r="O5" s="237"/>
      <c r="P5" s="238"/>
      <c r="Q5" s="246"/>
      <c r="R5" s="92"/>
      <c r="S5" s="67" t="s">
        <v>81</v>
      </c>
      <c r="T5" s="120" t="s">
        <v>57</v>
      </c>
      <c r="U5" s="67" t="s">
        <v>82</v>
      </c>
      <c r="V5" s="67" t="s">
        <v>83</v>
      </c>
      <c r="W5" s="121" t="s">
        <v>84</v>
      </c>
    </row>
    <row r="6" spans="1:23" x14ac:dyDescent="0.25">
      <c r="A6" s="34" t="s">
        <v>72</v>
      </c>
      <c r="B6" s="301">
        <v>0.40236499999999997</v>
      </c>
      <c r="C6" s="301">
        <v>3.3815999999999999E-2</v>
      </c>
      <c r="D6" s="301">
        <v>7.9459999999999999E-3</v>
      </c>
      <c r="E6" s="289">
        <v>0.44412699999999999</v>
      </c>
      <c r="F6" s="303" t="s">
        <v>73</v>
      </c>
      <c r="G6" s="241">
        <v>0</v>
      </c>
      <c r="H6" s="301">
        <v>7.4360999999999997E-2</v>
      </c>
      <c r="I6" s="301">
        <v>1.186E-3</v>
      </c>
      <c r="J6" s="301">
        <v>3.4837E-2</v>
      </c>
      <c r="K6" s="303" t="s">
        <v>73</v>
      </c>
      <c r="L6" s="303" t="s">
        <v>73</v>
      </c>
      <c r="M6" s="94">
        <f>G6+$H$6+$I$6+$J$6</f>
        <v>0.11038400000000001</v>
      </c>
      <c r="N6" s="263">
        <v>0</v>
      </c>
      <c r="O6" s="305">
        <v>1.2695E-2</v>
      </c>
      <c r="P6" s="247">
        <v>0</v>
      </c>
      <c r="Q6" s="301">
        <v>7.2920000000000007E-3</v>
      </c>
      <c r="R6" s="96">
        <f>$N$6+$O$6+P6+$Q$6</f>
        <v>1.9987000000000001E-2</v>
      </c>
      <c r="S6" s="113">
        <f>$E$6+M6+R6</f>
        <v>0.57449799999999995</v>
      </c>
      <c r="T6" s="53">
        <v>4.3999999999999997E-2</v>
      </c>
      <c r="U6" s="97">
        <f>S6+T6</f>
        <v>0.61849799999999999</v>
      </c>
      <c r="V6" s="125">
        <v>120</v>
      </c>
      <c r="W6" s="114">
        <f>U6*V6</f>
        <v>74.219759999999994</v>
      </c>
    </row>
    <row r="7" spans="1:23" x14ac:dyDescent="0.25">
      <c r="A7" s="34" t="s">
        <v>30</v>
      </c>
      <c r="B7" s="301"/>
      <c r="C7" s="301"/>
      <c r="D7" s="301"/>
      <c r="E7" s="289"/>
      <c r="F7" s="303"/>
      <c r="G7" s="241">
        <v>7.2051999999999991E-2</v>
      </c>
      <c r="H7" s="301"/>
      <c r="I7" s="301"/>
      <c r="J7" s="301"/>
      <c r="K7" s="303"/>
      <c r="L7" s="303"/>
      <c r="M7" s="94">
        <f t="shared" ref="M7:M11" si="0">G7+$H$6+$I$6+$J$6</f>
        <v>0.18243599999999999</v>
      </c>
      <c r="N7" s="263"/>
      <c r="O7" s="305"/>
      <c r="P7" s="247">
        <v>4.9599999999999998E-2</v>
      </c>
      <c r="Q7" s="301"/>
      <c r="R7" s="96">
        <f t="shared" ref="R7:R11" si="1">$N$6+$O$6+P7+$Q$6</f>
        <v>6.9586999999999996E-2</v>
      </c>
      <c r="S7" s="113">
        <f t="shared" ref="S7:S10" si="2">$E$6+M7+R7</f>
        <v>0.69614999999999994</v>
      </c>
      <c r="T7" s="53">
        <v>0.17499999999999999</v>
      </c>
      <c r="U7" s="97">
        <f t="shared" ref="U7:U10" si="3">S7+T7</f>
        <v>0.87114999999999987</v>
      </c>
      <c r="V7" s="125">
        <v>360</v>
      </c>
      <c r="W7" s="114">
        <f t="shared" ref="W7:W10" si="4">U7*V7</f>
        <v>313.61399999999998</v>
      </c>
    </row>
    <row r="8" spans="1:23" x14ac:dyDescent="0.25">
      <c r="A8" s="34" t="s">
        <v>31</v>
      </c>
      <c r="B8" s="301"/>
      <c r="C8" s="301"/>
      <c r="D8" s="301"/>
      <c r="E8" s="289"/>
      <c r="F8" s="303"/>
      <c r="G8" s="241">
        <v>6.5948000000000007E-2</v>
      </c>
      <c r="H8" s="301"/>
      <c r="I8" s="301"/>
      <c r="J8" s="301"/>
      <c r="K8" s="303"/>
      <c r="L8" s="303"/>
      <c r="M8" s="94">
        <f t="shared" si="0"/>
        <v>0.17633200000000002</v>
      </c>
      <c r="N8" s="263"/>
      <c r="O8" s="305"/>
      <c r="P8" s="247">
        <v>2.93E-2</v>
      </c>
      <c r="Q8" s="301"/>
      <c r="R8" s="96">
        <f t="shared" si="1"/>
        <v>4.9286999999999997E-2</v>
      </c>
      <c r="S8" s="113">
        <f t="shared" si="2"/>
        <v>0.66974599999999995</v>
      </c>
      <c r="T8" s="53">
        <v>0.17</v>
      </c>
      <c r="U8" s="97">
        <f t="shared" si="3"/>
        <v>0.83974599999999999</v>
      </c>
      <c r="V8" s="125">
        <v>1080</v>
      </c>
      <c r="W8" s="114">
        <f t="shared" si="4"/>
        <v>906.92567999999994</v>
      </c>
    </row>
    <row r="9" spans="1:23" x14ac:dyDescent="0.25">
      <c r="A9" s="34" t="s">
        <v>32</v>
      </c>
      <c r="B9" s="301"/>
      <c r="C9" s="301"/>
      <c r="D9" s="301"/>
      <c r="E9" s="289"/>
      <c r="F9" s="303"/>
      <c r="G9" s="241">
        <v>6.6224999999999992E-2</v>
      </c>
      <c r="H9" s="301"/>
      <c r="I9" s="301"/>
      <c r="J9" s="301"/>
      <c r="K9" s="303"/>
      <c r="L9" s="303"/>
      <c r="M9" s="94">
        <f t="shared" si="0"/>
        <v>0.17660899999999999</v>
      </c>
      <c r="N9" s="263"/>
      <c r="O9" s="305"/>
      <c r="P9" s="247">
        <v>2.3699999999999999E-2</v>
      </c>
      <c r="Q9" s="301"/>
      <c r="R9" s="96">
        <f t="shared" si="1"/>
        <v>4.3686999999999997E-2</v>
      </c>
      <c r="S9" s="113">
        <f t="shared" si="2"/>
        <v>0.66442299999999999</v>
      </c>
      <c r="T9" s="53">
        <v>0.186</v>
      </c>
      <c r="U9" s="97">
        <f t="shared" si="3"/>
        <v>0.85042299999999993</v>
      </c>
      <c r="V9" s="125">
        <v>3440</v>
      </c>
      <c r="W9" s="114">
        <f t="shared" si="4"/>
        <v>2925.4551199999996</v>
      </c>
    </row>
    <row r="10" spans="1:23" x14ac:dyDescent="0.25">
      <c r="A10" s="34" t="s">
        <v>33</v>
      </c>
      <c r="B10" s="301"/>
      <c r="C10" s="301"/>
      <c r="D10" s="301"/>
      <c r="E10" s="289"/>
      <c r="F10" s="303"/>
      <c r="G10" s="241">
        <v>4.9484E-2</v>
      </c>
      <c r="H10" s="301"/>
      <c r="I10" s="301"/>
      <c r="J10" s="301"/>
      <c r="K10" s="303"/>
      <c r="L10" s="303"/>
      <c r="M10" s="94">
        <f t="shared" si="0"/>
        <v>0.15986800000000001</v>
      </c>
      <c r="N10" s="263"/>
      <c r="O10" s="305"/>
      <c r="P10" s="247">
        <v>1.7000000000000001E-2</v>
      </c>
      <c r="Q10" s="301"/>
      <c r="R10" s="96">
        <f t="shared" si="1"/>
        <v>3.6986999999999999E-2</v>
      </c>
      <c r="S10" s="113">
        <f t="shared" si="2"/>
        <v>0.64098200000000005</v>
      </c>
      <c r="T10" s="53">
        <v>0.186</v>
      </c>
      <c r="U10" s="97">
        <f t="shared" si="3"/>
        <v>0.82698200000000011</v>
      </c>
      <c r="V10" s="125">
        <v>25000</v>
      </c>
      <c r="W10" s="114">
        <f t="shared" si="4"/>
        <v>20674.550000000003</v>
      </c>
    </row>
    <row r="11" spans="1:23" x14ac:dyDescent="0.25">
      <c r="A11" s="34" t="s">
        <v>34</v>
      </c>
      <c r="B11" s="302"/>
      <c r="C11" s="302"/>
      <c r="D11" s="302"/>
      <c r="E11" s="290"/>
      <c r="F11" s="304"/>
      <c r="G11" s="241">
        <v>2.5066000000000001E-2</v>
      </c>
      <c r="H11" s="302"/>
      <c r="I11" s="302"/>
      <c r="J11" s="302"/>
      <c r="K11" s="304"/>
      <c r="L11" s="304"/>
      <c r="M11" s="94">
        <f t="shared" si="0"/>
        <v>0.13545000000000001</v>
      </c>
      <c r="N11" s="274"/>
      <c r="O11" s="306"/>
      <c r="P11" s="248">
        <v>7.1000000000000004E-3</v>
      </c>
      <c r="Q11" s="302"/>
      <c r="R11" s="96">
        <f t="shared" si="1"/>
        <v>2.7087E-2</v>
      </c>
      <c r="S11" s="115"/>
      <c r="T11" s="116"/>
      <c r="U11" s="117"/>
      <c r="V11" s="118"/>
      <c r="W11" s="119"/>
    </row>
    <row r="12" spans="1:23" x14ac:dyDescent="0.25">
      <c r="A12" s="99" t="s">
        <v>74</v>
      </c>
      <c r="B12" s="239"/>
      <c r="C12" s="240"/>
      <c r="D12" s="239"/>
      <c r="E12" s="102"/>
      <c r="F12" s="242"/>
      <c r="G12" s="239"/>
      <c r="H12" s="243"/>
      <c r="I12" s="239"/>
      <c r="J12" s="239"/>
      <c r="K12" s="239"/>
      <c r="L12" s="239"/>
      <c r="M12" s="102"/>
      <c r="N12" s="102"/>
      <c r="O12" s="239"/>
      <c r="P12" s="243"/>
      <c r="Q12" s="249"/>
      <c r="R12" s="105"/>
      <c r="S12" s="122"/>
      <c r="T12" s="123"/>
      <c r="U12" s="122"/>
      <c r="V12" s="5">
        <f>SUM(V6:V11)</f>
        <v>30000</v>
      </c>
      <c r="W12" s="124">
        <f>SUM(W6:W11)</f>
        <v>24894.764560000003</v>
      </c>
    </row>
    <row r="13" spans="1:23" x14ac:dyDescent="0.25">
      <c r="A13" s="106" t="s">
        <v>75</v>
      </c>
      <c r="B13" s="303" t="s">
        <v>73</v>
      </c>
      <c r="C13" s="303" t="s">
        <v>73</v>
      </c>
      <c r="D13" s="307">
        <v>57.43</v>
      </c>
      <c r="E13" s="275">
        <v>57.43</v>
      </c>
      <c r="F13" s="244">
        <v>67.290000000000006</v>
      </c>
      <c r="G13" s="303" t="s">
        <v>73</v>
      </c>
      <c r="H13" s="303" t="s">
        <v>73</v>
      </c>
      <c r="I13" s="303" t="s">
        <v>73</v>
      </c>
      <c r="J13" s="303" t="s">
        <v>73</v>
      </c>
      <c r="K13" s="307">
        <v>-0.33</v>
      </c>
      <c r="L13" s="307">
        <v>0</v>
      </c>
      <c r="M13" s="108">
        <f>+F13+K13+L13</f>
        <v>66.960000000000008</v>
      </c>
      <c r="N13" s="280" t="s">
        <v>73</v>
      </c>
      <c r="O13" s="303" t="s">
        <v>73</v>
      </c>
      <c r="P13" s="307">
        <v>-21.63</v>
      </c>
      <c r="Q13" s="303" t="s">
        <v>73</v>
      </c>
      <c r="R13" s="275">
        <f>+P13</f>
        <v>-21.63</v>
      </c>
      <c r="S13" s="122"/>
      <c r="T13" s="123"/>
      <c r="U13" s="122"/>
      <c r="V13" s="122"/>
      <c r="W13" s="122"/>
    </row>
    <row r="14" spans="1:23" x14ac:dyDescent="0.25">
      <c r="A14" s="106" t="s">
        <v>76</v>
      </c>
      <c r="B14" s="301"/>
      <c r="C14" s="301"/>
      <c r="D14" s="307"/>
      <c r="E14" s="275"/>
      <c r="F14" s="244">
        <v>469.33000000000004</v>
      </c>
      <c r="G14" s="301"/>
      <c r="H14" s="301"/>
      <c r="I14" s="301"/>
      <c r="J14" s="301"/>
      <c r="K14" s="307"/>
      <c r="L14" s="307"/>
      <c r="M14" s="108">
        <f>+F14+K13+L13</f>
        <v>469.00000000000006</v>
      </c>
      <c r="N14" s="281"/>
      <c r="O14" s="301"/>
      <c r="P14" s="307"/>
      <c r="Q14" s="301"/>
      <c r="R14" s="275"/>
      <c r="S14" s="122"/>
      <c r="T14" s="123"/>
      <c r="U14" s="122"/>
      <c r="V14" s="126" t="s">
        <v>80</v>
      </c>
      <c r="W14" s="127">
        <f>W12/V12</f>
        <v>0.82982548533333345</v>
      </c>
    </row>
    <row r="15" spans="1:23" x14ac:dyDescent="0.25">
      <c r="A15" s="109" t="s">
        <v>77</v>
      </c>
      <c r="B15" s="302"/>
      <c r="C15" s="302"/>
      <c r="D15" s="308"/>
      <c r="E15" s="276"/>
      <c r="F15" s="245">
        <v>964.39</v>
      </c>
      <c r="G15" s="302"/>
      <c r="H15" s="302"/>
      <c r="I15" s="302"/>
      <c r="J15" s="302"/>
      <c r="K15" s="308"/>
      <c r="L15" s="308"/>
      <c r="M15" s="111">
        <f>+F15+K13+L13</f>
        <v>964.06</v>
      </c>
      <c r="N15" s="282"/>
      <c r="O15" s="302"/>
      <c r="P15" s="308"/>
      <c r="Q15" s="302"/>
      <c r="R15" s="276"/>
    </row>
    <row r="16" spans="1:23" x14ac:dyDescent="0.25">
      <c r="A16" s="112" t="s">
        <v>78</v>
      </c>
      <c r="B16" s="277" t="s">
        <v>79</v>
      </c>
      <c r="C16" s="278"/>
      <c r="D16" s="278"/>
      <c r="E16" s="278"/>
      <c r="F16" s="278"/>
      <c r="G16" s="278"/>
      <c r="H16" s="278"/>
      <c r="I16" s="278"/>
      <c r="J16" s="278"/>
      <c r="K16" s="278"/>
      <c r="L16" s="278"/>
      <c r="M16" s="278"/>
      <c r="N16" s="278"/>
      <c r="O16" s="278"/>
      <c r="P16" s="278"/>
      <c r="Q16" s="278"/>
      <c r="R16" s="279"/>
    </row>
    <row r="20" spans="2:3" x14ac:dyDescent="0.25">
      <c r="B20" s="155" t="s">
        <v>305</v>
      </c>
      <c r="C20" s="158">
        <f>$E$13+M13+$R$13</f>
        <v>102.76000000000002</v>
      </c>
    </row>
    <row r="21" spans="2:3" x14ac:dyDescent="0.25">
      <c r="B21" s="155" t="s">
        <v>306</v>
      </c>
      <c r="C21" s="158">
        <f t="shared" ref="C21:C22" si="5">$E$13+M14+$R$13</f>
        <v>504.80000000000007</v>
      </c>
    </row>
    <row r="22" spans="2:3" x14ac:dyDescent="0.25">
      <c r="B22" s="155" t="s">
        <v>307</v>
      </c>
      <c r="C22" s="158">
        <f t="shared" si="5"/>
        <v>999.8599999999999</v>
      </c>
    </row>
  </sheetData>
  <mergeCells count="32">
    <mergeCell ref="P13:P15"/>
    <mergeCell ref="Q13:Q15"/>
    <mergeCell ref="R13:R15"/>
    <mergeCell ref="B16:R16"/>
    <mergeCell ref="I13:I15"/>
    <mergeCell ref="J13:J15"/>
    <mergeCell ref="K13:K15"/>
    <mergeCell ref="L13:L15"/>
    <mergeCell ref="N13:N15"/>
    <mergeCell ref="O13:O15"/>
    <mergeCell ref="B13:B15"/>
    <mergeCell ref="C13:C15"/>
    <mergeCell ref="D13:D15"/>
    <mergeCell ref="E13:E15"/>
    <mergeCell ref="G13:G15"/>
    <mergeCell ref="H13:H15"/>
    <mergeCell ref="Q6:Q11"/>
    <mergeCell ref="E2:E4"/>
    <mergeCell ref="M2:M4"/>
    <mergeCell ref="R2:R4"/>
    <mergeCell ref="B6:B11"/>
    <mergeCell ref="C6:C11"/>
    <mergeCell ref="D6:D11"/>
    <mergeCell ref="E6:E11"/>
    <mergeCell ref="F6:F11"/>
    <mergeCell ref="H6:H11"/>
    <mergeCell ref="I6:I11"/>
    <mergeCell ref="J6:J11"/>
    <mergeCell ref="K6:K11"/>
    <mergeCell ref="L6:L11"/>
    <mergeCell ref="N6:N11"/>
    <mergeCell ref="O6:O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20</vt:i4>
      </vt:variant>
    </vt:vector>
  </HeadingPairs>
  <TitlesOfParts>
    <vt:vector size="20" baseType="lpstr">
      <vt:lpstr>Riepilogo</vt:lpstr>
      <vt:lpstr>Listino IV Trim 2013</vt:lpstr>
      <vt:lpstr>Ottobre 2024</vt:lpstr>
      <vt:lpstr>Novembre 2024</vt:lpstr>
      <vt:lpstr>Dicembre 2024</vt:lpstr>
      <vt:lpstr>Gennaio 2025</vt:lpstr>
      <vt:lpstr>Febbraio 2025</vt:lpstr>
      <vt:lpstr>Marzo 2025</vt:lpstr>
      <vt:lpstr>Aprile 2025</vt:lpstr>
      <vt:lpstr>Maggio 2025</vt:lpstr>
      <vt:lpstr>Giugno 2025</vt:lpstr>
      <vt:lpstr>Luglio 2025</vt:lpstr>
      <vt:lpstr>Agosto 2025</vt:lpstr>
      <vt:lpstr>Settembre 2025</vt:lpstr>
      <vt:lpstr>Ottobre 2025</vt:lpstr>
      <vt:lpstr>Contatori 2024-2025</vt:lpstr>
      <vt:lpstr>PMP_2024-2025</vt:lpstr>
      <vt:lpstr>Foglio2</vt:lpstr>
      <vt:lpstr>Foglio4</vt:lpstr>
      <vt:lpstr>Foglio3</vt:lpstr>
    </vt:vector>
  </TitlesOfParts>
  <Company>Nelsa S.r.l.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Salvatore Marchese</dc:creator>
  <cp:lastModifiedBy>Simone Introzzi</cp:lastModifiedBy>
  <dcterms:created xsi:type="dcterms:W3CDTF">2018-12-19T16:32:17Z</dcterms:created>
  <dcterms:modified xsi:type="dcterms:W3CDTF">2025-11-11T10:10:34Z</dcterms:modified>
</cp:coreProperties>
</file>